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90" yWindow="525" windowWidth="15975" windowHeight="7365" tabRatio="730" activeTab="9"/>
  </bookViews>
  <sheets>
    <sheet name="Source Data" sheetId="1" r:id="rId1"/>
    <sheet name="Inputs" sheetId="2" r:id="rId2"/>
    <sheet name="Investment" sheetId="3" r:id="rId3"/>
    <sheet name="IS" sheetId="4" r:id="rId4"/>
    <sheet name="BS" sheetId="5" r:id="rId5"/>
    <sheet name="CF" sheetId="6" r:id="rId6"/>
    <sheet name="FCF" sheetId="7" r:id="rId7"/>
    <sheet name="Key ratios" sheetId="11" r:id="rId8"/>
    <sheet name="Discount Factor" sheetId="8" r:id="rId9"/>
    <sheet name="Equity Valuation" sheetId="9" r:id="rId10"/>
    <sheet name="Competitors' analysis" sheetId="13" r:id="rId11"/>
  </sheets>
  <calcPr calcId="145621"/>
</workbook>
</file>

<file path=xl/calcChain.xml><?xml version="1.0" encoding="utf-8"?>
<calcChain xmlns="http://schemas.openxmlformats.org/spreadsheetml/2006/main">
  <c r="B8" i="9" l="1"/>
  <c r="B9" i="9"/>
  <c r="B10" i="9"/>
  <c r="B7" i="8"/>
  <c r="G17" i="9" s="1"/>
  <c r="K26" i="1" l="1"/>
  <c r="M69" i="1"/>
  <c r="M68" i="1" l="1"/>
  <c r="J14" i="1" s="1"/>
  <c r="D4" i="4"/>
  <c r="E4" i="4" s="1"/>
  <c r="D5" i="4"/>
  <c r="E5" i="4" s="1"/>
  <c r="F5" i="4" s="1"/>
  <c r="G5" i="4" s="1"/>
  <c r="H5" i="4" s="1"/>
  <c r="D6" i="4"/>
  <c r="E6" i="4" s="1"/>
  <c r="F6" i="4" s="1"/>
  <c r="G6" i="4" s="1"/>
  <c r="H6" i="4" s="1"/>
  <c r="D9" i="4"/>
  <c r="D11" i="4"/>
  <c r="E11" i="4" s="1"/>
  <c r="F11" i="4" s="1"/>
  <c r="G11" i="4" s="1"/>
  <c r="H11" i="4" s="1"/>
  <c r="D17" i="4"/>
  <c r="E17" i="4" s="1"/>
  <c r="F17" i="4" s="1"/>
  <c r="G17" i="4" s="1"/>
  <c r="H17" i="4" s="1"/>
  <c r="D18" i="4"/>
  <c r="E18" i="4" s="1"/>
  <c r="F18" i="4" s="1"/>
  <c r="G18" i="4" s="1"/>
  <c r="H18" i="4" s="1"/>
  <c r="C32" i="5"/>
  <c r="C36" i="5"/>
  <c r="D36" i="5" s="1"/>
  <c r="E36" i="5" s="1"/>
  <c r="D27" i="4"/>
  <c r="B29" i="7" s="1"/>
  <c r="C26" i="5"/>
  <c r="C28" i="5"/>
  <c r="B10" i="8" s="1"/>
  <c r="D20" i="4"/>
  <c r="E20" i="4" s="1"/>
  <c r="F20" i="4" s="1"/>
  <c r="G20" i="4" s="1"/>
  <c r="H20" i="4" s="1"/>
  <c r="D21" i="4"/>
  <c r="E21" i="4" s="1"/>
  <c r="F21" i="4" s="1"/>
  <c r="G21" i="4" s="1"/>
  <c r="H21" i="4" s="1"/>
  <c r="D26" i="4"/>
  <c r="E26" i="4" s="1"/>
  <c r="D25" i="4"/>
  <c r="B15" i="7" s="1"/>
  <c r="D28" i="4"/>
  <c r="E28" i="4" s="1"/>
  <c r="C7" i="4"/>
  <c r="C12" i="4" s="1"/>
  <c r="C37" i="5"/>
  <c r="C16" i="5"/>
  <c r="D16" i="5" s="1"/>
  <c r="E16" i="5" s="1"/>
  <c r="F16" i="5" s="1"/>
  <c r="C17" i="5"/>
  <c r="D39" i="5"/>
  <c r="E39" i="5" s="1"/>
  <c r="F39" i="5" s="1"/>
  <c r="G39" i="5" s="1"/>
  <c r="H39" i="5" s="1"/>
  <c r="C33" i="5"/>
  <c r="D33" i="5"/>
  <c r="C12" i="6" s="1"/>
  <c r="B13" i="7" s="1"/>
  <c r="C21" i="6"/>
  <c r="D18" i="5"/>
  <c r="D19" i="5"/>
  <c r="E19" i="5" s="1"/>
  <c r="F19" i="5" s="1"/>
  <c r="G19" i="5" s="1"/>
  <c r="H19" i="5" s="1"/>
  <c r="D13" i="5"/>
  <c r="E13" i="5" s="1"/>
  <c r="D7" i="6" s="1"/>
  <c r="C10" i="5"/>
  <c r="C20" i="5"/>
  <c r="C28" i="6" s="1"/>
  <c r="D21" i="6"/>
  <c r="E18" i="5"/>
  <c r="F18" i="5" s="1"/>
  <c r="G18" i="5" s="1"/>
  <c r="H18" i="5" s="1"/>
  <c r="E21" i="6"/>
  <c r="F21" i="6"/>
  <c r="G21" i="6"/>
  <c r="B7" i="4"/>
  <c r="C19" i="4"/>
  <c r="D19" i="4" s="1"/>
  <c r="E19" i="4" s="1"/>
  <c r="F19" i="4" s="1"/>
  <c r="G19" i="4" s="1"/>
  <c r="H19" i="4" s="1"/>
  <c r="B77" i="9"/>
  <c r="B41" i="9"/>
  <c r="C73" i="9" s="1"/>
  <c r="I73" i="9"/>
  <c r="G73" i="9"/>
  <c r="E73" i="9"/>
  <c r="D73" i="9"/>
  <c r="C70" i="9"/>
  <c r="I71" i="9"/>
  <c r="H71" i="9"/>
  <c r="G71" i="9"/>
  <c r="F71" i="9"/>
  <c r="E71" i="9"/>
  <c r="D71" i="9"/>
  <c r="C71" i="9"/>
  <c r="I70" i="9"/>
  <c r="H70" i="9"/>
  <c r="G70" i="9"/>
  <c r="F70" i="9"/>
  <c r="E70" i="9"/>
  <c r="D70" i="9"/>
  <c r="I69" i="9"/>
  <c r="H69" i="9"/>
  <c r="G69" i="9"/>
  <c r="F69" i="9"/>
  <c r="E69" i="9"/>
  <c r="D69" i="9"/>
  <c r="C69" i="9"/>
  <c r="I68" i="9"/>
  <c r="H68" i="9"/>
  <c r="G68" i="9"/>
  <c r="F68" i="9"/>
  <c r="E68" i="9"/>
  <c r="D68" i="9"/>
  <c r="C68" i="9"/>
  <c r="I43" i="13"/>
  <c r="H43" i="13"/>
  <c r="G43" i="13"/>
  <c r="F43" i="13"/>
  <c r="E43" i="13"/>
  <c r="D43" i="13"/>
  <c r="C43" i="13"/>
  <c r="I38" i="13"/>
  <c r="H38" i="13"/>
  <c r="G38" i="13"/>
  <c r="F38" i="13"/>
  <c r="E38" i="13"/>
  <c r="D38" i="13"/>
  <c r="C38" i="13"/>
  <c r="D16" i="1"/>
  <c r="D17" i="1"/>
  <c r="D18" i="1"/>
  <c r="D19" i="1"/>
  <c r="B35" i="9"/>
  <c r="C16" i="11"/>
  <c r="B28" i="6"/>
  <c r="B21" i="6"/>
  <c r="B17" i="6"/>
  <c r="B8" i="6"/>
  <c r="B7" i="6"/>
  <c r="B6" i="6"/>
  <c r="B40" i="5"/>
  <c r="B34" i="5"/>
  <c r="B41" i="5" s="1"/>
  <c r="B42" i="5" s="1"/>
  <c r="B28" i="5"/>
  <c r="C14" i="11"/>
  <c r="B21" i="5"/>
  <c r="C14" i="5"/>
  <c r="B10" i="5"/>
  <c r="B14" i="5"/>
  <c r="B22" i="5" s="1"/>
  <c r="B19" i="4"/>
  <c r="B35" i="3"/>
  <c r="C31" i="3"/>
  <c r="C32" i="3" s="1"/>
  <c r="B27" i="3"/>
  <c r="B24" i="3"/>
  <c r="B28" i="3" s="1"/>
  <c r="B20" i="3"/>
  <c r="B18" i="3"/>
  <c r="C17" i="3"/>
  <c r="C18" i="3" s="1"/>
  <c r="C20" i="3" s="1"/>
  <c r="B17" i="3"/>
  <c r="B21" i="3"/>
  <c r="C10" i="3"/>
  <c r="C11" i="3" s="1"/>
  <c r="C13" i="3" s="1"/>
  <c r="B10" i="3"/>
  <c r="B14" i="3" s="1"/>
  <c r="C3" i="3"/>
  <c r="C4" i="3" s="1"/>
  <c r="B3" i="3"/>
  <c r="B7" i="3" s="1"/>
  <c r="D87" i="1"/>
  <c r="L53" i="1" s="1"/>
  <c r="D86" i="1"/>
  <c r="D85" i="1"/>
  <c r="L51" i="1" s="1"/>
  <c r="D84" i="1"/>
  <c r="L50" i="1"/>
  <c r="I81" i="1"/>
  <c r="G81" i="1"/>
  <c r="I80" i="1"/>
  <c r="G80" i="1"/>
  <c r="J79" i="1"/>
  <c r="I79" i="1"/>
  <c r="N35" i="1" s="1"/>
  <c r="F35" i="1" s="1"/>
  <c r="G79" i="1"/>
  <c r="J78" i="1"/>
  <c r="M34" i="1"/>
  <c r="I78" i="1"/>
  <c r="G78" i="1"/>
  <c r="N78" i="1" s="1"/>
  <c r="B77" i="1"/>
  <c r="N77" i="1"/>
  <c r="M77" i="1" s="1"/>
  <c r="B76" i="1"/>
  <c r="M71" i="1"/>
  <c r="M70" i="1"/>
  <c r="G65" i="1"/>
  <c r="M73" i="1"/>
  <c r="G64" i="1"/>
  <c r="M72" i="1"/>
  <c r="N55" i="1"/>
  <c r="M55" i="1"/>
  <c r="L55" i="1"/>
  <c r="K55" i="1"/>
  <c r="D55" i="1"/>
  <c r="C55" i="1"/>
  <c r="B55" i="1"/>
  <c r="N54" i="1"/>
  <c r="M54" i="1"/>
  <c r="L54" i="1"/>
  <c r="K54" i="1"/>
  <c r="D54" i="1"/>
  <c r="C54" i="1"/>
  <c r="B54" i="1"/>
  <c r="N53" i="1"/>
  <c r="M53" i="1"/>
  <c r="K53" i="1"/>
  <c r="D53" i="1"/>
  <c r="C53" i="1"/>
  <c r="B53" i="1"/>
  <c r="N52" i="1"/>
  <c r="M52" i="1"/>
  <c r="L52" i="1"/>
  <c r="K52" i="1"/>
  <c r="D52" i="1"/>
  <c r="C52" i="1"/>
  <c r="B52" i="1"/>
  <c r="N51" i="1"/>
  <c r="M51" i="1"/>
  <c r="K51" i="1"/>
  <c r="D51" i="1"/>
  <c r="C51" i="1"/>
  <c r="B51" i="1"/>
  <c r="M50" i="1"/>
  <c r="K50" i="1"/>
  <c r="D50" i="1"/>
  <c r="C50" i="1"/>
  <c r="B50" i="1"/>
  <c r="M46" i="1"/>
  <c r="L46" i="1"/>
  <c r="N46" i="1"/>
  <c r="K46" i="1"/>
  <c r="I46" i="1"/>
  <c r="H46" i="1"/>
  <c r="G46" i="1"/>
  <c r="D46" i="1"/>
  <c r="C46" i="1"/>
  <c r="B46" i="1"/>
  <c r="M45" i="1"/>
  <c r="L45" i="1"/>
  <c r="K45" i="1"/>
  <c r="I45" i="1"/>
  <c r="H45" i="1"/>
  <c r="G45" i="1"/>
  <c r="D45" i="1"/>
  <c r="C45" i="1"/>
  <c r="B45" i="1"/>
  <c r="M44" i="1"/>
  <c r="L44" i="1"/>
  <c r="K44" i="1"/>
  <c r="N44" i="1"/>
  <c r="I44" i="1"/>
  <c r="H44" i="1"/>
  <c r="G44" i="1"/>
  <c r="F44" i="1"/>
  <c r="D44" i="1"/>
  <c r="C44" i="1"/>
  <c r="B44" i="1"/>
  <c r="M43" i="1"/>
  <c r="L43" i="1"/>
  <c r="N43" i="1" s="1"/>
  <c r="K43" i="1"/>
  <c r="I43" i="1"/>
  <c r="H43" i="1"/>
  <c r="G43" i="1"/>
  <c r="D43" i="1"/>
  <c r="C43" i="1"/>
  <c r="B43" i="1"/>
  <c r="M42" i="1"/>
  <c r="L42" i="1"/>
  <c r="K42" i="1"/>
  <c r="I42" i="1"/>
  <c r="H42" i="1"/>
  <c r="G42" i="1"/>
  <c r="F42" i="1"/>
  <c r="D42" i="1"/>
  <c r="C42" i="1"/>
  <c r="B42" i="1"/>
  <c r="D41" i="1"/>
  <c r="C41" i="1"/>
  <c r="B41" i="1"/>
  <c r="N37" i="1"/>
  <c r="M37" i="1"/>
  <c r="L37" i="1"/>
  <c r="K37" i="1"/>
  <c r="I37" i="1"/>
  <c r="H37" i="1"/>
  <c r="G37" i="1"/>
  <c r="N36" i="1"/>
  <c r="M36" i="1"/>
  <c r="L36" i="1"/>
  <c r="K36" i="1"/>
  <c r="I36" i="1"/>
  <c r="H36" i="1"/>
  <c r="G36" i="1"/>
  <c r="M35" i="1"/>
  <c r="L35" i="1"/>
  <c r="K35" i="1"/>
  <c r="J35" i="1"/>
  <c r="I35" i="1"/>
  <c r="H35" i="1"/>
  <c r="G35" i="1"/>
  <c r="N34" i="1"/>
  <c r="L34" i="1"/>
  <c r="K34" i="1"/>
  <c r="J34" i="1"/>
  <c r="I34" i="1"/>
  <c r="H34" i="1"/>
  <c r="G34" i="1"/>
  <c r="F34" i="1"/>
  <c r="N33" i="1"/>
  <c r="M33" i="1"/>
  <c r="L33" i="1"/>
  <c r="K33" i="1"/>
  <c r="J33" i="1"/>
  <c r="I33" i="1"/>
  <c r="H33" i="1"/>
  <c r="G33" i="1"/>
  <c r="F33" i="1" s="1"/>
  <c r="G32" i="1"/>
  <c r="M28" i="1"/>
  <c r="K28" i="1"/>
  <c r="J28" i="1"/>
  <c r="I28" i="1"/>
  <c r="D37" i="1" s="1"/>
  <c r="G28" i="1"/>
  <c r="F28" i="1"/>
  <c r="M27" i="1"/>
  <c r="K27" i="1"/>
  <c r="J27" i="1"/>
  <c r="I27" i="1"/>
  <c r="D36" i="1" s="1"/>
  <c r="G27" i="1"/>
  <c r="F27" i="1"/>
  <c r="M26" i="1"/>
  <c r="J26" i="1"/>
  <c r="I26" i="1" s="1"/>
  <c r="D35" i="1" s="1"/>
  <c r="G26" i="1"/>
  <c r="F26" i="1"/>
  <c r="M25" i="1"/>
  <c r="K25" i="1"/>
  <c r="J25" i="1"/>
  <c r="I25" i="1" s="1"/>
  <c r="D34" i="1" s="1"/>
  <c r="G25" i="1"/>
  <c r="F25" i="1"/>
  <c r="M24" i="1"/>
  <c r="K24" i="1"/>
  <c r="J24" i="1"/>
  <c r="I24" i="1"/>
  <c r="D33" i="1" s="1"/>
  <c r="G24" i="1"/>
  <c r="F24" i="1"/>
  <c r="M23" i="1"/>
  <c r="L14" i="1" s="1"/>
  <c r="N19" i="1"/>
  <c r="M19" i="1"/>
  <c r="L19" i="1"/>
  <c r="K19" i="1"/>
  <c r="I19" i="1"/>
  <c r="H19" i="1"/>
  <c r="F19" i="1"/>
  <c r="E19" i="1"/>
  <c r="K18" i="1"/>
  <c r="F18" i="1"/>
  <c r="E18" i="1"/>
  <c r="N17" i="1"/>
  <c r="M17" i="1"/>
  <c r="L17" i="1"/>
  <c r="K17" i="1"/>
  <c r="J17" i="1"/>
  <c r="I17" i="1"/>
  <c r="H17" i="1"/>
  <c r="F17" i="1"/>
  <c r="E17" i="1"/>
  <c r="F16" i="1"/>
  <c r="E16" i="1"/>
  <c r="N15" i="1"/>
  <c r="M15" i="1"/>
  <c r="L15" i="1"/>
  <c r="K15" i="1"/>
  <c r="J15" i="1"/>
  <c r="I15" i="1"/>
  <c r="H15" i="1"/>
  <c r="F15" i="1"/>
  <c r="E15" i="1"/>
  <c r="D15" i="1"/>
  <c r="N14" i="1"/>
  <c r="H14" i="1"/>
  <c r="L10" i="1"/>
  <c r="K10" i="1"/>
  <c r="J10" i="1"/>
  <c r="I10" i="1"/>
  <c r="H10" i="1"/>
  <c r="L9" i="1"/>
  <c r="K9" i="1"/>
  <c r="J9" i="1"/>
  <c r="I9" i="1"/>
  <c r="H9" i="1"/>
  <c r="L8" i="1"/>
  <c r="K8" i="1"/>
  <c r="J8" i="1"/>
  <c r="I8" i="1"/>
  <c r="H8" i="1"/>
  <c r="K7" i="1"/>
  <c r="J7" i="1"/>
  <c r="I7" i="1"/>
  <c r="H7" i="1"/>
  <c r="L6" i="1"/>
  <c r="K6" i="1"/>
  <c r="J6" i="1"/>
  <c r="I6" i="1"/>
  <c r="H6" i="1"/>
  <c r="C28" i="11"/>
  <c r="B12" i="6"/>
  <c r="C40" i="11"/>
  <c r="C42" i="11" s="1"/>
  <c r="B10" i="6"/>
  <c r="F46" i="1"/>
  <c r="J19" i="1"/>
  <c r="N81" i="1"/>
  <c r="H73" i="9" s="1"/>
  <c r="J37" i="1"/>
  <c r="F37" i="1"/>
  <c r="B13" i="6"/>
  <c r="N42" i="1"/>
  <c r="N45" i="1"/>
  <c r="M16" i="1"/>
  <c r="I16" i="1"/>
  <c r="N16" i="1"/>
  <c r="H41" i="1"/>
  <c r="L32" i="1"/>
  <c r="H32" i="1"/>
  <c r="N76" i="1"/>
  <c r="M76" i="1" s="1"/>
  <c r="I41" i="1"/>
  <c r="M32" i="1"/>
  <c r="I32" i="1"/>
  <c r="F41" i="1"/>
  <c r="N32" i="1"/>
  <c r="J32" i="1"/>
  <c r="F32" i="1" s="1"/>
  <c r="J18" i="1"/>
  <c r="F45" i="1"/>
  <c r="F43" i="1"/>
  <c r="J16" i="1"/>
  <c r="B23" i="9"/>
  <c r="L16" i="1"/>
  <c r="K16" i="1"/>
  <c r="G41" i="1"/>
  <c r="N79" i="1"/>
  <c r="I53" i="1" s="1"/>
  <c r="M14" i="1"/>
  <c r="I14" i="1"/>
  <c r="L18" i="1"/>
  <c r="H18" i="1"/>
  <c r="M18" i="1"/>
  <c r="I18" i="1"/>
  <c r="N18" i="1"/>
  <c r="C24" i="1"/>
  <c r="I51" i="1"/>
  <c r="N80" i="1"/>
  <c r="E54" i="1" s="1"/>
  <c r="J36" i="1"/>
  <c r="F36" i="1"/>
  <c r="C36" i="11"/>
  <c r="K14" i="1"/>
  <c r="H16" i="1"/>
  <c r="K32" i="1"/>
  <c r="N50" i="1"/>
  <c r="C21" i="5"/>
  <c r="C24" i="3"/>
  <c r="C25" i="3" s="1"/>
  <c r="C28" i="3" s="1"/>
  <c r="B9" i="6"/>
  <c r="D28" i="11"/>
  <c r="E50" i="1"/>
  <c r="C29" i="11"/>
  <c r="M80" i="1"/>
  <c r="G54" i="1" s="1"/>
  <c r="C27" i="1"/>
  <c r="M79" i="1"/>
  <c r="G53" i="1" s="1"/>
  <c r="C26" i="1"/>
  <c r="C28" i="1"/>
  <c r="E55" i="1"/>
  <c r="H53" i="1"/>
  <c r="C35" i="1" s="1"/>
  <c r="B35" i="1" s="1"/>
  <c r="E26" i="1" s="1"/>
  <c r="H54" i="1"/>
  <c r="C36" i="1" s="1"/>
  <c r="B36" i="1" s="1"/>
  <c r="G51" i="1" l="1"/>
  <c r="H51" i="1"/>
  <c r="C33" i="1" s="1"/>
  <c r="B33" i="1" s="1"/>
  <c r="I52" i="1"/>
  <c r="C25" i="1"/>
  <c r="M78" i="1"/>
  <c r="E52" i="1"/>
  <c r="E27" i="1"/>
  <c r="D27" i="1"/>
  <c r="B27" i="1" s="1"/>
  <c r="C18" i="1" s="1"/>
  <c r="B18" i="1" s="1"/>
  <c r="H50" i="1"/>
  <c r="G50" i="1"/>
  <c r="C6" i="3"/>
  <c r="C7" i="3"/>
  <c r="C34" i="3"/>
  <c r="D31" i="3" s="1"/>
  <c r="D32" i="3" s="1"/>
  <c r="C35" i="3"/>
  <c r="D26" i="1"/>
  <c r="B26" i="1" s="1"/>
  <c r="C17" i="1" s="1"/>
  <c r="B17" i="1" s="1"/>
  <c r="I55" i="1"/>
  <c r="M81" i="1"/>
  <c r="E53" i="1"/>
  <c r="I54" i="1"/>
  <c r="I50" i="1"/>
  <c r="B78" i="9"/>
  <c r="B79" i="9" s="1"/>
  <c r="B80" i="9" s="1"/>
  <c r="B81" i="9" s="1"/>
  <c r="E51" i="1"/>
  <c r="B16" i="6"/>
  <c r="B18" i="6" s="1"/>
  <c r="C34" i="5"/>
  <c r="B22" i="6"/>
  <c r="C4" i="11"/>
  <c r="C14" i="3"/>
  <c r="B30" i="7"/>
  <c r="C22" i="11"/>
  <c r="E33" i="5"/>
  <c r="C7" i="6"/>
  <c r="B29" i="2"/>
  <c r="C10" i="4"/>
  <c r="C13" i="4" s="1"/>
  <c r="C15" i="4" s="1"/>
  <c r="C22" i="4" s="1"/>
  <c r="C24" i="4" s="1"/>
  <c r="C9" i="6"/>
  <c r="B9" i="7" s="1"/>
  <c r="F26" i="4"/>
  <c r="C16" i="7"/>
  <c r="D10" i="3"/>
  <c r="D11" i="3" s="1"/>
  <c r="D14" i="3" s="1"/>
  <c r="D7" i="5"/>
  <c r="D8" i="5"/>
  <c r="D17" i="3"/>
  <c r="D18" i="3" s="1"/>
  <c r="D20" i="3" s="1"/>
  <c r="C19" i="3"/>
  <c r="F28" i="4"/>
  <c r="C30" i="7"/>
  <c r="C27" i="11"/>
  <c r="C21" i="3"/>
  <c r="C19" i="11"/>
  <c r="C33" i="3"/>
  <c r="B16" i="7"/>
  <c r="D23" i="4"/>
  <c r="C6" i="6" s="1"/>
  <c r="B10" i="4"/>
  <c r="B13" i="4" s="1"/>
  <c r="B14" i="4" s="1"/>
  <c r="D11" i="5"/>
  <c r="C17" i="6" s="1"/>
  <c r="B21" i="7" s="1"/>
  <c r="D6" i="5"/>
  <c r="B28" i="2"/>
  <c r="D37" i="5" s="1"/>
  <c r="C11" i="6" s="1"/>
  <c r="B11" i="7" s="1"/>
  <c r="D34" i="3"/>
  <c r="D35" i="3"/>
  <c r="E9" i="6"/>
  <c r="D9" i="7" s="1"/>
  <c r="G16" i="5"/>
  <c r="F36" i="5"/>
  <c r="D13" i="6"/>
  <c r="C12" i="7" s="1"/>
  <c r="C11" i="11"/>
  <c r="D21" i="3"/>
  <c r="D14" i="11"/>
  <c r="C39" i="11"/>
  <c r="C43" i="11" s="1"/>
  <c r="B12" i="4"/>
  <c r="C14" i="4"/>
  <c r="D9" i="6"/>
  <c r="C9" i="7" s="1"/>
  <c r="C13" i="6"/>
  <c r="B12" i="7" s="1"/>
  <c r="E25" i="4"/>
  <c r="C27" i="3"/>
  <c r="E27" i="4"/>
  <c r="B11" i="8"/>
  <c r="C22" i="5"/>
  <c r="C5" i="11" s="1"/>
  <c r="B16" i="9"/>
  <c r="C40" i="5"/>
  <c r="C35" i="11" s="1"/>
  <c r="F13" i="5"/>
  <c r="D32" i="5"/>
  <c r="D7" i="4"/>
  <c r="D4" i="11" s="1"/>
  <c r="C26" i="11"/>
  <c r="C6" i="11"/>
  <c r="D16" i="11"/>
  <c r="C41" i="11"/>
  <c r="C44" i="11" s="1"/>
  <c r="B11" i="6"/>
  <c r="C12" i="3"/>
  <c r="D17" i="5"/>
  <c r="C29" i="2" s="1"/>
  <c r="E17" i="5" s="1"/>
  <c r="E7" i="4"/>
  <c r="E4" i="11" s="1"/>
  <c r="E9" i="4"/>
  <c r="F4" i="4"/>
  <c r="H14" i="8"/>
  <c r="F73" i="9" l="1"/>
  <c r="H55" i="1"/>
  <c r="C37" i="1" s="1"/>
  <c r="B37" i="1" s="1"/>
  <c r="G55" i="1"/>
  <c r="D3" i="3"/>
  <c r="D4" i="3" s="1"/>
  <c r="C5" i="3"/>
  <c r="G52" i="1"/>
  <c r="H52" i="1"/>
  <c r="C34" i="1" s="1"/>
  <c r="B34" i="1" s="1"/>
  <c r="D13" i="3"/>
  <c r="B8" i="7"/>
  <c r="E24" i="1"/>
  <c r="D24" i="1"/>
  <c r="F33" i="5"/>
  <c r="D12" i="6"/>
  <c r="C13" i="7" s="1"/>
  <c r="C24" i="11"/>
  <c r="C25" i="11" s="1"/>
  <c r="B15" i="4"/>
  <c r="B22" i="4" s="1"/>
  <c r="B24" i="4" s="1"/>
  <c r="B29" i="4" s="1"/>
  <c r="B31" i="4" s="1"/>
  <c r="D12" i="4"/>
  <c r="D16" i="7"/>
  <c r="G26" i="4"/>
  <c r="D40" i="5"/>
  <c r="C41" i="5"/>
  <c r="D27" i="11" s="1"/>
  <c r="D30" i="7"/>
  <c r="G28" i="4"/>
  <c r="D10" i="4"/>
  <c r="D13" i="4" s="1"/>
  <c r="D14" i="4" s="1"/>
  <c r="D22" i="11"/>
  <c r="E12" i="4"/>
  <c r="C10" i="6"/>
  <c r="B10" i="7" s="1"/>
  <c r="D40" i="11"/>
  <c r="D42" i="11" s="1"/>
  <c r="E10" i="4"/>
  <c r="E13" i="4" s="1"/>
  <c r="E15" i="4" s="1"/>
  <c r="D24" i="3"/>
  <c r="D25" i="3" s="1"/>
  <c r="D27" i="3" s="1"/>
  <c r="C26" i="3"/>
  <c r="D9" i="5"/>
  <c r="D10" i="5" s="1"/>
  <c r="C15" i="7"/>
  <c r="F25" i="4"/>
  <c r="G36" i="5"/>
  <c r="E13" i="6"/>
  <c r="D12" i="7" s="1"/>
  <c r="D33" i="3"/>
  <c r="E31" i="3"/>
  <c r="E32" i="3" s="1"/>
  <c r="E35" i="3" s="1"/>
  <c r="E11" i="5"/>
  <c r="F9" i="4"/>
  <c r="G9" i="4" s="1"/>
  <c r="C45" i="11"/>
  <c r="E7" i="6"/>
  <c r="G13" i="5"/>
  <c r="F27" i="4"/>
  <c r="C29" i="7"/>
  <c r="E16" i="11"/>
  <c r="C21" i="11"/>
  <c r="C20" i="11" s="1"/>
  <c r="C37" i="11"/>
  <c r="C13" i="11"/>
  <c r="C18" i="11"/>
  <c r="C29" i="4"/>
  <c r="C34" i="11"/>
  <c r="C33" i="11"/>
  <c r="C8" i="11"/>
  <c r="C31" i="11"/>
  <c r="C42" i="5"/>
  <c r="C11" i="8"/>
  <c r="C12" i="8" s="1"/>
  <c r="D34" i="5"/>
  <c r="E32" i="5"/>
  <c r="C22" i="6"/>
  <c r="B27" i="7" s="1"/>
  <c r="B12" i="8"/>
  <c r="D12" i="3"/>
  <c r="E10" i="3"/>
  <c r="E11" i="3" s="1"/>
  <c r="E14" i="3" s="1"/>
  <c r="E7" i="5"/>
  <c r="D19" i="3"/>
  <c r="E8" i="5"/>
  <c r="E17" i="3"/>
  <c r="E18" i="3" s="1"/>
  <c r="E21" i="3" s="1"/>
  <c r="H16" i="5"/>
  <c r="G9" i="6" s="1"/>
  <c r="F9" i="7" s="1"/>
  <c r="F9" i="6"/>
  <c r="E9" i="7" s="1"/>
  <c r="D29" i="2"/>
  <c r="F17" i="5" s="1"/>
  <c r="E10" i="6" s="1"/>
  <c r="D10" i="7" s="1"/>
  <c r="D10" i="6"/>
  <c r="C10" i="7" s="1"/>
  <c r="F7" i="4"/>
  <c r="G4" i="4"/>
  <c r="E40" i="11"/>
  <c r="E42" i="11" s="1"/>
  <c r="B24" i="1" l="1"/>
  <c r="C15" i="1" s="1"/>
  <c r="B15" i="1" s="1"/>
  <c r="D6" i="3"/>
  <c r="D7" i="3"/>
  <c r="D28" i="1"/>
  <c r="E28" i="1"/>
  <c r="D25" i="1"/>
  <c r="E25" i="1"/>
  <c r="D41" i="5"/>
  <c r="E19" i="11" s="1"/>
  <c r="G33" i="5"/>
  <c r="E12" i="6"/>
  <c r="D13" i="7" s="1"/>
  <c r="D19" i="11"/>
  <c r="E34" i="3"/>
  <c r="F11" i="5" s="1"/>
  <c r="E17" i="6" s="1"/>
  <c r="D21" i="7" s="1"/>
  <c r="E39" i="11"/>
  <c r="E43" i="11" s="1"/>
  <c r="H26" i="4"/>
  <c r="F16" i="7" s="1"/>
  <c r="E16" i="7"/>
  <c r="E30" i="7"/>
  <c r="H28" i="4"/>
  <c r="F30" i="7" s="1"/>
  <c r="E14" i="4"/>
  <c r="D39" i="11"/>
  <c r="D43" i="11" s="1"/>
  <c r="D15" i="4"/>
  <c r="D11" i="11" s="1"/>
  <c r="D41" i="11"/>
  <c r="D44" i="11" s="1"/>
  <c r="C28" i="2"/>
  <c r="E37" i="5" s="1"/>
  <c r="E41" i="11" s="1"/>
  <c r="E44" i="11" s="1"/>
  <c r="F10" i="4"/>
  <c r="F13" i="4" s="1"/>
  <c r="F14" i="4" s="1"/>
  <c r="E24" i="3"/>
  <c r="E25" i="3" s="1"/>
  <c r="E28" i="3" s="1"/>
  <c r="D26" i="3"/>
  <c r="E9" i="5"/>
  <c r="F7" i="6"/>
  <c r="H13" i="5"/>
  <c r="D15" i="7"/>
  <c r="G25" i="4"/>
  <c r="D28" i="3"/>
  <c r="E23" i="4"/>
  <c r="D8" i="11"/>
  <c r="E20" i="3"/>
  <c r="E13" i="3"/>
  <c r="B13" i="8"/>
  <c r="C31" i="4"/>
  <c r="B4" i="6"/>
  <c r="B14" i="6" s="1"/>
  <c r="C15" i="11"/>
  <c r="D29" i="7"/>
  <c r="F16" i="11"/>
  <c r="G27" i="4"/>
  <c r="H36" i="5"/>
  <c r="G13" i="6" s="1"/>
  <c r="F12" i="7" s="1"/>
  <c r="F13" i="6"/>
  <c r="E12" i="7" s="1"/>
  <c r="F32" i="5"/>
  <c r="D11" i="8"/>
  <c r="D22" i="6"/>
  <c r="E34" i="5"/>
  <c r="D17" i="6"/>
  <c r="C21" i="7" s="1"/>
  <c r="C16" i="6"/>
  <c r="D14" i="5"/>
  <c r="E29" i="2"/>
  <c r="G17" i="5" s="1"/>
  <c r="F10" i="6" s="1"/>
  <c r="E10" i="7" s="1"/>
  <c r="F4" i="11"/>
  <c r="F40" i="11"/>
  <c r="F42" i="11" s="1"/>
  <c r="F12" i="4"/>
  <c r="G7" i="4"/>
  <c r="H4" i="4"/>
  <c r="H7" i="4" s="1"/>
  <c r="H9" i="4"/>
  <c r="E22" i="4"/>
  <c r="E11" i="11"/>
  <c r="B25" i="1" l="1"/>
  <c r="C16" i="1" s="1"/>
  <c r="B28" i="1"/>
  <c r="C19" i="1" s="1"/>
  <c r="B19" i="1" s="1"/>
  <c r="D5" i="3"/>
  <c r="E3" i="3"/>
  <c r="E4" i="3" s="1"/>
  <c r="E6" i="5"/>
  <c r="E10" i="5" s="1"/>
  <c r="E14" i="5" s="1"/>
  <c r="D45" i="11"/>
  <c r="F12" i="6"/>
  <c r="E13" i="7" s="1"/>
  <c r="H33" i="5"/>
  <c r="G12" i="6" s="1"/>
  <c r="F13" i="7" s="1"/>
  <c r="E33" i="3"/>
  <c r="D22" i="4"/>
  <c r="D24" i="4" s="1"/>
  <c r="B4" i="7" s="1"/>
  <c r="F31" i="3"/>
  <c r="F32" i="3" s="1"/>
  <c r="C27" i="7"/>
  <c r="F39" i="11"/>
  <c r="F43" i="11" s="1"/>
  <c r="E45" i="11"/>
  <c r="F23" i="4"/>
  <c r="E6" i="6" s="1"/>
  <c r="E24" i="4"/>
  <c r="E37" i="11" s="1"/>
  <c r="E40" i="5"/>
  <c r="E41" i="5" s="1"/>
  <c r="E8" i="11" s="1"/>
  <c r="D28" i="2"/>
  <c r="F37" i="5" s="1"/>
  <c r="E11" i="6" s="1"/>
  <c r="D11" i="7" s="1"/>
  <c r="D11" i="6"/>
  <c r="C11" i="7" s="1"/>
  <c r="F15" i="4"/>
  <c r="F11" i="11" s="1"/>
  <c r="B20" i="7"/>
  <c r="B22" i="7" s="1"/>
  <c r="C18" i="6"/>
  <c r="F34" i="5"/>
  <c r="G32" i="5"/>
  <c r="E11" i="8"/>
  <c r="E12" i="8" s="1"/>
  <c r="E22" i="6"/>
  <c r="D27" i="7" s="1"/>
  <c r="H27" i="4"/>
  <c r="G16" i="11"/>
  <c r="E29" i="7"/>
  <c r="C17" i="11"/>
  <c r="C12" i="11"/>
  <c r="B17" i="9" s="1"/>
  <c r="B18" i="9" s="1"/>
  <c r="B20" i="9" s="1"/>
  <c r="E15" i="7"/>
  <c r="H25" i="4"/>
  <c r="F15" i="7" s="1"/>
  <c r="D12" i="8"/>
  <c r="F17" i="3"/>
  <c r="F18" i="3" s="1"/>
  <c r="F21" i="3" s="1"/>
  <c r="E19" i="3"/>
  <c r="F8" i="5"/>
  <c r="D6" i="6"/>
  <c r="C8" i="7"/>
  <c r="G7" i="6"/>
  <c r="B23" i="6"/>
  <c r="C7" i="11"/>
  <c r="C10" i="11"/>
  <c r="F10" i="3"/>
  <c r="F11" i="3" s="1"/>
  <c r="F14" i="3" s="1"/>
  <c r="F7" i="5"/>
  <c r="E12" i="3"/>
  <c r="E27" i="3"/>
  <c r="G40" i="11"/>
  <c r="G42" i="11" s="1"/>
  <c r="G12" i="4"/>
  <c r="G4" i="11"/>
  <c r="F29" i="2"/>
  <c r="H17" i="5" s="1"/>
  <c r="G10" i="4"/>
  <c r="G13" i="4" s="1"/>
  <c r="H4" i="11"/>
  <c r="H12" i="4"/>
  <c r="H10" i="4"/>
  <c r="H13" i="4" s="1"/>
  <c r="H15" i="4" s="1"/>
  <c r="D16" i="6" l="1"/>
  <c r="L7" i="1"/>
  <c r="B16" i="1"/>
  <c r="E6" i="3"/>
  <c r="E7" i="3"/>
  <c r="D37" i="11"/>
  <c r="E21" i="11"/>
  <c r="D18" i="11"/>
  <c r="F41" i="11"/>
  <c r="F44" i="11" s="1"/>
  <c r="F45" i="11" s="1"/>
  <c r="F40" i="5"/>
  <c r="F41" i="5" s="1"/>
  <c r="G19" i="11" s="1"/>
  <c r="D13" i="11"/>
  <c r="D21" i="11"/>
  <c r="D20" i="11" s="1"/>
  <c r="F35" i="3"/>
  <c r="F34" i="3"/>
  <c r="D29" i="4"/>
  <c r="C4" i="6" s="1"/>
  <c r="F22" i="4"/>
  <c r="F24" i="4" s="1"/>
  <c r="F29" i="4" s="1"/>
  <c r="C4" i="7"/>
  <c r="C5" i="7" s="1"/>
  <c r="C6" i="7" s="1"/>
  <c r="E28" i="2"/>
  <c r="G37" i="5" s="1"/>
  <c r="F11" i="6" s="1"/>
  <c r="E11" i="7" s="1"/>
  <c r="E29" i="4"/>
  <c r="D4" i="6" s="1"/>
  <c r="D8" i="7"/>
  <c r="F20" i="3"/>
  <c r="G8" i="5" s="1"/>
  <c r="F19" i="11"/>
  <c r="D18" i="6"/>
  <c r="C20" i="7"/>
  <c r="C22" i="7" s="1"/>
  <c r="H32" i="5"/>
  <c r="G34" i="5"/>
  <c r="F11" i="8"/>
  <c r="F22" i="6"/>
  <c r="C30" i="11"/>
  <c r="B24" i="6"/>
  <c r="B26" i="6" s="1"/>
  <c r="B29" i="6" s="1"/>
  <c r="F24" i="3"/>
  <c r="F25" i="3" s="1"/>
  <c r="F28" i="3" s="1"/>
  <c r="F9" i="5"/>
  <c r="E26" i="3"/>
  <c r="F19" i="3"/>
  <c r="H16" i="11"/>
  <c r="F29" i="7"/>
  <c r="F13" i="3"/>
  <c r="H11" i="11"/>
  <c r="H22" i="4"/>
  <c r="G10" i="6"/>
  <c r="F10" i="7" s="1"/>
  <c r="B5" i="7"/>
  <c r="B6" i="7" s="1"/>
  <c r="H14" i="4"/>
  <c r="H39" i="11"/>
  <c r="H43" i="11" s="1"/>
  <c r="G39" i="11"/>
  <c r="G43" i="11" s="1"/>
  <c r="G14" i="4"/>
  <c r="H40" i="11"/>
  <c r="H42" i="11" s="1"/>
  <c r="G15" i="4"/>
  <c r="F3" i="3" l="1"/>
  <c r="F4" i="3" s="1"/>
  <c r="F6" i="5"/>
  <c r="E5" i="3"/>
  <c r="F10" i="5"/>
  <c r="D30" i="4"/>
  <c r="D31" i="4" s="1"/>
  <c r="D26" i="5" s="1"/>
  <c r="F37" i="11"/>
  <c r="F21" i="11"/>
  <c r="G11" i="5"/>
  <c r="F17" i="6" s="1"/>
  <c r="E21" i="7" s="1"/>
  <c r="G31" i="3"/>
  <c r="G32" i="3" s="1"/>
  <c r="G35" i="3" s="1"/>
  <c r="F33" i="3"/>
  <c r="G41" i="11"/>
  <c r="G44" i="11" s="1"/>
  <c r="G45" i="11" s="1"/>
  <c r="G17" i="3"/>
  <c r="G18" i="3" s="1"/>
  <c r="G21" i="3" s="1"/>
  <c r="E27" i="7"/>
  <c r="D4" i="7"/>
  <c r="D5" i="7" s="1"/>
  <c r="D6" i="7" s="1"/>
  <c r="E30" i="4"/>
  <c r="E31" i="4" s="1"/>
  <c r="E10" i="11" s="1"/>
  <c r="F8" i="11"/>
  <c r="G23" i="4"/>
  <c r="F28" i="2" s="1"/>
  <c r="H37" i="5" s="1"/>
  <c r="G40" i="5"/>
  <c r="G41" i="5" s="1"/>
  <c r="H19" i="11" s="1"/>
  <c r="E16" i="6"/>
  <c r="F14" i="5"/>
  <c r="F12" i="8"/>
  <c r="F27" i="3"/>
  <c r="G10" i="3"/>
  <c r="G11" i="3" s="1"/>
  <c r="F12" i="3"/>
  <c r="G7" i="5"/>
  <c r="G11" i="8"/>
  <c r="G12" i="8" s="1"/>
  <c r="H34" i="5"/>
  <c r="G22" i="6"/>
  <c r="F27" i="7" s="1"/>
  <c r="F30" i="4"/>
  <c r="F31" i="4" s="1"/>
  <c r="E4" i="6"/>
  <c r="G22" i="4"/>
  <c r="G11" i="11"/>
  <c r="F6" i="3" l="1"/>
  <c r="F7" i="3"/>
  <c r="D10" i="11"/>
  <c r="D15" i="11"/>
  <c r="D17" i="11" s="1"/>
  <c r="D7" i="11"/>
  <c r="C8" i="6"/>
  <c r="C14" i="6" s="1"/>
  <c r="C13" i="8"/>
  <c r="D13" i="8"/>
  <c r="E15" i="11"/>
  <c r="E7" i="11"/>
  <c r="D8" i="6"/>
  <c r="D14" i="6" s="1"/>
  <c r="G20" i="3"/>
  <c r="G34" i="3"/>
  <c r="F6" i="6"/>
  <c r="G8" i="11"/>
  <c r="H41" i="11"/>
  <c r="H44" i="11" s="1"/>
  <c r="H45" i="11" s="1"/>
  <c r="H40" i="5"/>
  <c r="H41" i="5" s="1"/>
  <c r="H8" i="11" s="1"/>
  <c r="G11" i="6"/>
  <c r="F11" i="7" s="1"/>
  <c r="G24" i="4"/>
  <c r="E4" i="7" s="1"/>
  <c r="E8" i="7"/>
  <c r="G14" i="3"/>
  <c r="D20" i="7"/>
  <c r="D22" i="7" s="1"/>
  <c r="E18" i="6"/>
  <c r="G24" i="3"/>
  <c r="G25" i="3" s="1"/>
  <c r="G28" i="3" s="1"/>
  <c r="F26" i="3"/>
  <c r="G9" i="5"/>
  <c r="H11" i="8"/>
  <c r="G13" i="3"/>
  <c r="H12" i="8"/>
  <c r="F10" i="11"/>
  <c r="F7" i="11"/>
  <c r="D12" i="11"/>
  <c r="C17" i="9" s="1"/>
  <c r="E13" i="8"/>
  <c r="F15" i="11"/>
  <c r="E8" i="6"/>
  <c r="E14" i="6" s="1"/>
  <c r="C23" i="6"/>
  <c r="E26" i="5"/>
  <c r="D28" i="5"/>
  <c r="G10" i="5" l="1"/>
  <c r="F16" i="6" s="1"/>
  <c r="G6" i="5"/>
  <c r="F5" i="3"/>
  <c r="G3" i="3"/>
  <c r="G4" i="3" s="1"/>
  <c r="G7" i="3" s="1"/>
  <c r="G6" i="3"/>
  <c r="D23" i="6"/>
  <c r="D24" i="6" s="1"/>
  <c r="G19" i="3"/>
  <c r="H8" i="5"/>
  <c r="H11" i="5"/>
  <c r="G17" i="6" s="1"/>
  <c r="F21" i="7" s="1"/>
  <c r="G33" i="3"/>
  <c r="G29" i="4"/>
  <c r="G30" i="4" s="1"/>
  <c r="G21" i="11"/>
  <c r="G37" i="11"/>
  <c r="G14" i="5"/>
  <c r="G27" i="3"/>
  <c r="H23" i="4"/>
  <c r="G12" i="3"/>
  <c r="H7" i="5"/>
  <c r="D30" i="11"/>
  <c r="B28" i="7"/>
  <c r="C24" i="6"/>
  <c r="C26" i="6" s="1"/>
  <c r="B14" i="7" s="1"/>
  <c r="E5" i="7"/>
  <c r="E6" i="7" s="1"/>
  <c r="F26" i="5"/>
  <c r="E28" i="5"/>
  <c r="C10" i="8"/>
  <c r="D6" i="11"/>
  <c r="E14" i="11"/>
  <c r="E13" i="11" s="1"/>
  <c r="D29" i="11"/>
  <c r="C16" i="9"/>
  <c r="C18" i="9" s="1"/>
  <c r="C20" i="9" s="1"/>
  <c r="E28" i="11"/>
  <c r="E22" i="11"/>
  <c r="E20" i="11" s="1"/>
  <c r="E27" i="11"/>
  <c r="D42" i="5"/>
  <c r="G5" i="3" l="1"/>
  <c r="H6" i="5"/>
  <c r="F4" i="6"/>
  <c r="F18" i="6"/>
  <c r="E20" i="7"/>
  <c r="E22" i="7" s="1"/>
  <c r="G26" i="3"/>
  <c r="H9" i="5"/>
  <c r="H10" i="5" s="1"/>
  <c r="G6" i="6"/>
  <c r="F8" i="7"/>
  <c r="H24" i="4"/>
  <c r="B31" i="7"/>
  <c r="E23" i="6"/>
  <c r="F28" i="5"/>
  <c r="G15" i="11"/>
  <c r="F13" i="8"/>
  <c r="F8" i="6"/>
  <c r="E30" i="11"/>
  <c r="D26" i="6"/>
  <c r="C14" i="7" s="1"/>
  <c r="C28" i="7"/>
  <c r="C31" i="7" s="1"/>
  <c r="E6" i="11"/>
  <c r="F14" i="11"/>
  <c r="F13" i="11" s="1"/>
  <c r="E29" i="11"/>
  <c r="D16" i="9"/>
  <c r="D10" i="8"/>
  <c r="F28" i="11"/>
  <c r="F22" i="11"/>
  <c r="F20" i="11" s="1"/>
  <c r="E42" i="5"/>
  <c r="F27" i="11"/>
  <c r="C29" i="6"/>
  <c r="D20" i="5" s="1"/>
  <c r="B17" i="7"/>
  <c r="B24" i="7" s="1"/>
  <c r="E12" i="11"/>
  <c r="D17" i="9" s="1"/>
  <c r="G31" i="4"/>
  <c r="F14" i="6" l="1"/>
  <c r="G16" i="6"/>
  <c r="H14" i="5"/>
  <c r="H37" i="11"/>
  <c r="F4" i="7"/>
  <c r="F5" i="7" s="1"/>
  <c r="F6" i="7" s="1"/>
  <c r="H21" i="11"/>
  <c r="H29" i="4"/>
  <c r="G7" i="11"/>
  <c r="G10" i="11"/>
  <c r="E24" i="6"/>
  <c r="E26" i="6" s="1"/>
  <c r="D14" i="7" s="1"/>
  <c r="F30" i="11"/>
  <c r="D28" i="7"/>
  <c r="D31" i="7" s="1"/>
  <c r="D35" i="11"/>
  <c r="C17" i="7"/>
  <c r="C24" i="7" s="1"/>
  <c r="G28" i="11"/>
  <c r="E16" i="9"/>
  <c r="F6" i="11"/>
  <c r="G14" i="11"/>
  <c r="G13" i="11" s="1"/>
  <c r="F29" i="11"/>
  <c r="E10" i="8"/>
  <c r="G22" i="11"/>
  <c r="G20" i="11" s="1"/>
  <c r="F42" i="5"/>
  <c r="G27" i="11"/>
  <c r="D18" i="9"/>
  <c r="D20" i="9" s="1"/>
  <c r="F12" i="11"/>
  <c r="E17" i="9" s="1"/>
  <c r="G26" i="5"/>
  <c r="D36" i="11" l="1"/>
  <c r="D28" i="6"/>
  <c r="D29" i="6" s="1"/>
  <c r="E20" i="5" s="1"/>
  <c r="D21" i="5"/>
  <c r="D33" i="11" s="1"/>
  <c r="G12" i="11"/>
  <c r="F17" i="9" s="1"/>
  <c r="F20" i="7"/>
  <c r="F22" i="7" s="1"/>
  <c r="G18" i="6"/>
  <c r="G4" i="6"/>
  <c r="H30" i="4"/>
  <c r="D17" i="7"/>
  <c r="D24" i="7" s="1"/>
  <c r="E18" i="9"/>
  <c r="E20" i="9" s="1"/>
  <c r="G28" i="5"/>
  <c r="F16" i="9" s="1"/>
  <c r="F23" i="6"/>
  <c r="F24" i="6" s="1"/>
  <c r="F26" i="6" s="1"/>
  <c r="E36" i="11" l="1"/>
  <c r="E21" i="5"/>
  <c r="E22" i="5" s="1"/>
  <c r="E35" i="11"/>
  <c r="E28" i="6"/>
  <c r="E29" i="6" s="1"/>
  <c r="F20" i="5" s="1"/>
  <c r="D34" i="11"/>
  <c r="D24" i="11"/>
  <c r="D25" i="11" s="1"/>
  <c r="D22" i="5"/>
  <c r="D31" i="11" s="1"/>
  <c r="H31" i="4"/>
  <c r="G8" i="6"/>
  <c r="G14" i="6" s="1"/>
  <c r="H15" i="11"/>
  <c r="G13" i="8"/>
  <c r="H13" i="8" s="1"/>
  <c r="G30" i="11"/>
  <c r="E28" i="7"/>
  <c r="E31" i="7" s="1"/>
  <c r="E14" i="7"/>
  <c r="G6" i="11"/>
  <c r="F10" i="8"/>
  <c r="H14" i="11"/>
  <c r="H13" i="11" s="1"/>
  <c r="G29" i="11"/>
  <c r="F18" i="9"/>
  <c r="F20" i="9" s="1"/>
  <c r="H28" i="11"/>
  <c r="H22" i="11"/>
  <c r="H20" i="11" s="1"/>
  <c r="G42" i="5"/>
  <c r="H27" i="11"/>
  <c r="F28" i="6" l="1"/>
  <c r="F29" i="6" s="1"/>
  <c r="G20" i="5" s="1"/>
  <c r="E33" i="11"/>
  <c r="E34" i="11"/>
  <c r="E24" i="11"/>
  <c r="E25" i="11" s="1"/>
  <c r="F21" i="5"/>
  <c r="F24" i="11" s="1"/>
  <c r="F25" i="11" s="1"/>
  <c r="F35" i="11"/>
  <c r="E18" i="11"/>
  <c r="E17" i="11" s="1"/>
  <c r="F36" i="11"/>
  <c r="D26" i="11"/>
  <c r="D5" i="11"/>
  <c r="H10" i="11"/>
  <c r="H7" i="11"/>
  <c r="H26" i="5"/>
  <c r="E17" i="7"/>
  <c r="E24" i="7" s="1"/>
  <c r="E5" i="11"/>
  <c r="E31" i="11"/>
  <c r="F18" i="11"/>
  <c r="F17" i="11" s="1"/>
  <c r="E26" i="11"/>
  <c r="H12" i="11"/>
  <c r="F22" i="5" l="1"/>
  <c r="F26" i="11" s="1"/>
  <c r="F34" i="11"/>
  <c r="F33" i="11"/>
  <c r="G23" i="6"/>
  <c r="H28" i="5"/>
  <c r="G16" i="9" s="1"/>
  <c r="G18" i="9" s="1"/>
  <c r="G19" i="9" s="1"/>
  <c r="G20" i="9" s="1"/>
  <c r="B21" i="9" s="1"/>
  <c r="G35" i="11"/>
  <c r="G28" i="6"/>
  <c r="G36" i="11"/>
  <c r="G21" i="5"/>
  <c r="G18" i="11" l="1"/>
  <c r="G17" i="11" s="1"/>
  <c r="F31" i="11"/>
  <c r="F5" i="11"/>
  <c r="H6" i="11"/>
  <c r="B22" i="9"/>
  <c r="J17" i="9" s="1"/>
  <c r="H29" i="11"/>
  <c r="G10" i="8"/>
  <c r="H10" i="8" s="1"/>
  <c r="H15" i="8" s="1"/>
  <c r="H42" i="5"/>
  <c r="H30" i="11"/>
  <c r="G24" i="6"/>
  <c r="G26" i="6" s="1"/>
  <c r="F14" i="7" s="1"/>
  <c r="F28" i="7"/>
  <c r="F31" i="7" s="1"/>
  <c r="G34" i="11"/>
  <c r="G22" i="5"/>
  <c r="G33" i="11"/>
  <c r="G24" i="11"/>
  <c r="G25" i="11" s="1"/>
  <c r="B32" i="9" l="1"/>
  <c r="G29" i="6"/>
  <c r="H20" i="5" s="1"/>
  <c r="F17" i="7"/>
  <c r="F24" i="7" s="1"/>
  <c r="B24" i="9"/>
  <c r="B25" i="9" s="1"/>
  <c r="G5" i="11"/>
  <c r="G31" i="11"/>
  <c r="H18" i="11"/>
  <c r="H17" i="11" s="1"/>
  <c r="G26" i="11"/>
  <c r="H35" i="11" l="1"/>
  <c r="H36" i="11"/>
  <c r="H21" i="5"/>
  <c r="H22" i="5" s="1"/>
  <c r="H26" i="11" s="1"/>
  <c r="F33" i="9"/>
  <c r="E33" i="9"/>
  <c r="E34" i="9" s="1"/>
  <c r="B33" i="9"/>
  <c r="B34" i="9" s="1"/>
  <c r="C33" i="9"/>
  <c r="C34" i="9" s="1"/>
  <c r="D33" i="9"/>
  <c r="D34" i="9" s="1"/>
  <c r="F34" i="9" l="1"/>
  <c r="G33" i="9"/>
  <c r="G34" i="9" s="1"/>
  <c r="H5" i="11"/>
  <c r="H33" i="11"/>
  <c r="H31" i="11"/>
  <c r="H24" i="11"/>
  <c r="H25" i="11" s="1"/>
  <c r="H34" i="11"/>
  <c r="B37" i="9" l="1"/>
  <c r="B38" i="9" s="1"/>
  <c r="J34" i="9" s="1"/>
  <c r="B40" i="9" l="1"/>
  <c r="J47" i="9" l="1"/>
  <c r="B42" i="9"/>
  <c r="B43" i="9" s="1"/>
</calcChain>
</file>

<file path=xl/comments1.xml><?xml version="1.0" encoding="utf-8"?>
<comments xmlns="http://schemas.openxmlformats.org/spreadsheetml/2006/main">
  <authors>
    <author/>
  </authors>
  <commentList>
    <comment ref="B76" authorId="0">
      <text>
        <r>
          <rPr>
            <sz val="10"/>
            <color rgb="FF000000"/>
            <rFont val="Arial"/>
            <family val="2"/>
            <charset val="186"/>
          </rPr>
          <t xml:space="preserve">Share of associate's result
</t>
        </r>
      </text>
    </comment>
    <comment ref="B77" authorId="0">
      <text>
        <r>
          <rPr>
            <sz val="10"/>
            <color rgb="FF000000"/>
            <rFont val="Arial"/>
            <family val="2"/>
            <charset val="186"/>
          </rPr>
          <t xml:space="preserve">Share of associate's result
</t>
        </r>
      </text>
    </comment>
  </commentList>
</comments>
</file>

<file path=xl/comments2.xml><?xml version="1.0" encoding="utf-8"?>
<comments xmlns="http://schemas.openxmlformats.org/spreadsheetml/2006/main">
  <authors>
    <author>Vadim</author>
  </authors>
  <commentList>
    <comment ref="A3" authorId="0">
      <text>
        <r>
          <rPr>
            <b/>
            <sz val="9"/>
            <color indexed="81"/>
            <rFont val="Tahoma"/>
            <family val="2"/>
            <charset val="186"/>
          </rPr>
          <t>Vadim:</t>
        </r>
        <r>
          <rPr>
            <sz val="9"/>
            <color indexed="81"/>
            <rFont val="Tahoma"/>
            <family val="2"/>
            <charset val="186"/>
          </rPr>
          <t xml:space="preserve">
According to the company, in 2013 sales will decrease: https://newsclient.omxgroup.com/cdsPublic/viewDisclosure.action?disclosureId=542278&amp;messageId=668078
But afterwards, after all the investments sales will recover; more explanations in report</t>
        </r>
      </text>
    </comment>
    <comment ref="A10" authorId="0">
      <text>
        <r>
          <rPr>
            <b/>
            <sz val="9"/>
            <color indexed="81"/>
            <rFont val="Tahoma"/>
            <family val="2"/>
            <charset val="186"/>
          </rPr>
          <t>Vadim:</t>
        </r>
        <r>
          <rPr>
            <sz val="9"/>
            <color indexed="81"/>
            <rFont val="Tahoma"/>
            <family val="2"/>
            <charset val="186"/>
          </rPr>
          <t xml:space="preserve">
In 2012 wages increased by 17% due to increasing productivity. Since company is going to continue investing in productivity we assume wages to grow at a rate higher than the annual rate of inlation: http://www.traders.lt/page.php?id=15960&amp;highlight=vilniaus+baldai</t>
        </r>
      </text>
    </comment>
    <comment ref="A11" authorId="0">
      <text>
        <r>
          <rPr>
            <b/>
            <sz val="9"/>
            <color indexed="81"/>
            <rFont val="Tahoma"/>
            <family val="2"/>
            <charset val="186"/>
          </rPr>
          <t>Vadim:</t>
        </r>
        <r>
          <rPr>
            <sz val="9"/>
            <color indexed="81"/>
            <rFont val="Tahoma"/>
            <family val="2"/>
            <charset val="186"/>
          </rPr>
          <t xml:space="preserve">
Based on historical data and uncrertainty about oil prices</t>
        </r>
      </text>
    </comment>
    <comment ref="A12" authorId="0">
      <text>
        <r>
          <rPr>
            <b/>
            <sz val="9"/>
            <color indexed="81"/>
            <rFont val="Tahoma"/>
            <family val="2"/>
            <charset val="186"/>
          </rPr>
          <t>Vadim:</t>
        </r>
        <r>
          <rPr>
            <sz val="9"/>
            <color indexed="81"/>
            <rFont val="Tahoma"/>
            <family val="2"/>
            <charset val="186"/>
          </rPr>
          <t xml:space="preserve">
Based on historical data</t>
        </r>
      </text>
    </comment>
    <comment ref="A13" authorId="0">
      <text>
        <r>
          <rPr>
            <b/>
            <sz val="9"/>
            <color indexed="81"/>
            <rFont val="Tahoma"/>
            <family val="2"/>
            <charset val="186"/>
          </rPr>
          <t>Vadim:</t>
        </r>
        <r>
          <rPr>
            <sz val="9"/>
            <color indexed="81"/>
            <rFont val="Tahoma"/>
            <family val="2"/>
            <charset val="186"/>
          </rPr>
          <t xml:space="preserve">
Based on historical data, assuming marginal increase</t>
        </r>
      </text>
    </comment>
    <comment ref="A14" authorId="0">
      <text>
        <r>
          <rPr>
            <b/>
            <sz val="9"/>
            <color indexed="81"/>
            <rFont val="Tahoma"/>
            <family val="2"/>
            <charset val="186"/>
          </rPr>
          <t>Vadim:</t>
        </r>
        <r>
          <rPr>
            <sz val="9"/>
            <color indexed="81"/>
            <rFont val="Tahoma"/>
            <family val="2"/>
            <charset val="186"/>
          </rPr>
          <t xml:space="preserve">
No increase, due to contant debt assumed</t>
        </r>
      </text>
    </comment>
    <comment ref="A16" authorId="0">
      <text>
        <r>
          <rPr>
            <b/>
            <sz val="9"/>
            <color indexed="81"/>
            <rFont val="Tahoma"/>
            <family val="2"/>
            <charset val="186"/>
          </rPr>
          <t>Vadim:</t>
        </r>
        <r>
          <rPr>
            <sz val="9"/>
            <color indexed="81"/>
            <rFont val="Tahoma"/>
            <family val="2"/>
            <charset val="186"/>
          </rPr>
          <t xml:space="preserve">
Will grow due to increase in receivables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186"/>
          </rPr>
          <t>Vadim:</t>
        </r>
        <r>
          <rPr>
            <sz val="9"/>
            <color indexed="81"/>
            <rFont val="Tahoma"/>
            <family val="2"/>
            <charset val="186"/>
          </rPr>
          <t xml:space="preserve">
Based on data provided in annual reports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186"/>
          </rPr>
          <t>Vadim:</t>
        </r>
        <r>
          <rPr>
            <sz val="9"/>
            <color indexed="81"/>
            <rFont val="Tahoma"/>
            <family val="2"/>
            <charset val="186"/>
          </rPr>
          <t xml:space="preserve">
Currently in LT and is not likely to change</t>
        </r>
      </text>
    </comment>
    <comment ref="A30" authorId="0">
      <text>
        <r>
          <rPr>
            <b/>
            <sz val="9"/>
            <color indexed="81"/>
            <rFont val="Tahoma"/>
            <family val="2"/>
            <charset val="186"/>
          </rPr>
          <t>Vadim:</t>
        </r>
        <r>
          <rPr>
            <sz val="9"/>
            <color indexed="81"/>
            <rFont val="Tahoma"/>
            <family val="2"/>
            <charset val="186"/>
          </rPr>
          <t xml:space="preserve">
Company repaid all its debt in recent years and due to favourable liquidity ratios we assume no additional borrowings</t>
        </r>
      </text>
    </comment>
    <comment ref="A34" authorId="0">
      <text>
        <r>
          <rPr>
            <b/>
            <sz val="9"/>
            <color indexed="81"/>
            <rFont val="Tahoma"/>
            <family val="2"/>
            <charset val="186"/>
          </rPr>
          <t>Vadim:</t>
        </r>
        <r>
          <rPr>
            <sz val="9"/>
            <color indexed="81"/>
            <rFont val="Tahoma"/>
            <family val="2"/>
            <charset val="186"/>
          </rPr>
          <t xml:space="preserve">
Based on historical data</t>
        </r>
      </text>
    </comment>
    <comment ref="A35" authorId="0">
      <text>
        <r>
          <rPr>
            <b/>
            <sz val="9"/>
            <color indexed="81"/>
            <rFont val="Tahoma"/>
            <family val="2"/>
            <charset val="186"/>
          </rPr>
          <t>Vadim:</t>
        </r>
        <r>
          <rPr>
            <sz val="9"/>
            <color indexed="81"/>
            <rFont val="Tahoma"/>
            <family val="2"/>
            <charset val="186"/>
          </rPr>
          <t xml:space="preserve">
Each employee is entitled to a jubilee and a pension benefit amounting to 2 or 3 months' salary payments. If salary increasing by a certain pace, provisions should go along</t>
        </r>
      </text>
    </comment>
    <comment ref="A37" authorId="0">
      <text>
        <r>
          <rPr>
            <b/>
            <sz val="9"/>
            <color indexed="81"/>
            <rFont val="Tahoma"/>
            <family val="2"/>
            <charset val="186"/>
          </rPr>
          <t>Vadim:</t>
        </r>
        <r>
          <rPr>
            <sz val="9"/>
            <color indexed="81"/>
            <rFont val="Tahoma"/>
            <family val="2"/>
            <charset val="186"/>
          </rPr>
          <t xml:space="preserve">
Decreasing because of diminishing cash position at hand. Last year -100%. First year, need money for investment and training</t>
        </r>
      </text>
    </comment>
    <comment ref="A39" authorId="0">
      <text>
        <r>
          <rPr>
            <b/>
            <sz val="9"/>
            <color indexed="81"/>
            <rFont val="Tahoma"/>
            <family val="2"/>
            <charset val="186"/>
          </rPr>
          <t>Vadim:</t>
        </r>
        <r>
          <rPr>
            <sz val="9"/>
            <color indexed="81"/>
            <rFont val="Tahoma"/>
            <family val="2"/>
            <charset val="186"/>
          </rPr>
          <t xml:space="preserve">
In 2012 company had large stock of finished goods. Material market is rather stable.</t>
        </r>
      </text>
    </comment>
    <comment ref="A40" authorId="0">
      <text>
        <r>
          <rPr>
            <b/>
            <sz val="9"/>
            <color indexed="81"/>
            <rFont val="Tahoma"/>
            <family val="2"/>
            <charset val="186"/>
          </rPr>
          <t>Vadim:</t>
        </r>
        <r>
          <rPr>
            <sz val="9"/>
            <color indexed="81"/>
            <rFont val="Tahoma"/>
            <family val="2"/>
            <charset val="186"/>
          </rPr>
          <t xml:space="preserve">
In 2012 the company invested LT12 million in FA, in 2013 plans to invest LT15 million more:
http://globenewswire.com/news-release/2013/02/11/522482/0/en/Vilniaus-baldai-AB-invested-over-LTL-12-million-into-new-equipment.html</t>
        </r>
      </text>
    </comment>
    <comment ref="A42" authorId="0">
      <text>
        <r>
          <rPr>
            <b/>
            <sz val="9"/>
            <color indexed="81"/>
            <rFont val="Tahoma"/>
            <family val="2"/>
            <charset val="186"/>
          </rPr>
          <t>Vadim:</t>
        </r>
        <r>
          <rPr>
            <sz val="9"/>
            <color indexed="81"/>
            <rFont val="Tahoma"/>
            <family val="2"/>
            <charset val="186"/>
          </rPr>
          <t xml:space="preserve">
The largest portion of investment will go into machinery and equipment according to the company's strategy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186"/>
          </rPr>
          <t>Vadim:</t>
        </r>
        <r>
          <rPr>
            <sz val="9"/>
            <color indexed="81"/>
            <rFont val="Tahoma"/>
            <family val="2"/>
            <charset val="186"/>
          </rPr>
          <t xml:space="preserve">
Dependent on specific case in which tax is calculated and management policy - but for simplicity we assume to be constant</t>
        </r>
      </text>
    </comment>
  </commentList>
</comments>
</file>

<file path=xl/comments3.xml><?xml version="1.0" encoding="utf-8"?>
<comments xmlns="http://schemas.openxmlformats.org/spreadsheetml/2006/main">
  <authors>
    <author>Vadim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186"/>
          </rPr>
          <t>Vadim:</t>
        </r>
        <r>
          <rPr>
            <sz val="9"/>
            <color indexed="81"/>
            <rFont val="Tahoma"/>
            <family val="2"/>
            <charset val="186"/>
          </rPr>
          <t xml:space="preserve">
Damodaran website; Data Sets: Risk Premiums for Other Markets: Lithuania</t>
        </r>
      </text>
    </comment>
    <comment ref="B6" authorId="0">
      <text>
        <r>
          <rPr>
            <b/>
            <sz val="9"/>
            <color indexed="81"/>
            <rFont val="Tahoma"/>
            <family val="2"/>
            <charset val="186"/>
          </rPr>
          <t>Vadim:</t>
        </r>
        <r>
          <rPr>
            <sz val="9"/>
            <color indexed="81"/>
            <rFont val="Tahoma"/>
            <family val="2"/>
            <charset val="186"/>
          </rPr>
          <t xml:space="preserve">
Levered Beta was calculated using unlevered Beta for furnishing industry in Europe; (corrected for cash=0.99;</t>
        </r>
      </text>
    </comment>
  </commentList>
</comments>
</file>

<file path=xl/comments4.xml><?xml version="1.0" encoding="utf-8"?>
<comments xmlns="http://schemas.openxmlformats.org/spreadsheetml/2006/main">
  <authors>
    <author>Vadim</author>
  </authors>
  <commentList>
    <comment ref="B4" authorId="0">
      <text>
        <r>
          <rPr>
            <b/>
            <sz val="9"/>
            <color indexed="81"/>
            <rFont val="Tahoma"/>
            <family val="2"/>
            <charset val="186"/>
          </rPr>
          <t>Vadim:</t>
        </r>
        <r>
          <rPr>
            <sz val="9"/>
            <color indexed="81"/>
            <rFont val="Tahoma"/>
            <family val="2"/>
            <charset val="186"/>
          </rPr>
          <t xml:space="preserve">
Historical growth rates by sector: Home Furnishing;</t>
        </r>
      </text>
    </comment>
  </commentList>
</comments>
</file>

<file path=xl/comments5.xml><?xml version="1.0" encoding="utf-8"?>
<comments xmlns="http://schemas.openxmlformats.org/spreadsheetml/2006/main">
  <authors>
    <author>Karolis Montvila</author>
  </authors>
  <commentList>
    <comment ref="A1" authorId="0">
      <text>
        <r>
          <rPr>
            <b/>
            <sz val="9"/>
            <color indexed="81"/>
            <rFont val="Calibri"/>
            <family val="2"/>
          </rPr>
          <t>Karolis Montvila:</t>
        </r>
        <r>
          <rPr>
            <sz val="9"/>
            <color indexed="81"/>
            <rFont val="Calibri"/>
            <family val="2"/>
          </rPr>
          <t xml:space="preserve">
All ratios are calculated as averages of 2011, 2010 and 2009.
</t>
        </r>
      </text>
    </comment>
    <comment ref="A2" authorId="0">
      <text>
        <r>
          <rPr>
            <b/>
            <sz val="9"/>
            <color indexed="81"/>
            <rFont val="Calibri"/>
            <family val="2"/>
          </rPr>
          <t>Karolis Montvila:</t>
        </r>
        <r>
          <rPr>
            <sz val="9"/>
            <color indexed="81"/>
            <rFont val="Calibri"/>
            <family val="2"/>
          </rPr>
          <t xml:space="preserve"> 
Companies are taken from ODIN database. All of them are from furniture industry and their revenueas are between 35mln € - 100mln €</t>
        </r>
      </text>
    </comment>
  </commentList>
</comments>
</file>

<file path=xl/sharedStrings.xml><?xml version="1.0" encoding="utf-8"?>
<sst xmlns="http://schemas.openxmlformats.org/spreadsheetml/2006/main" count="681" uniqueCount="477">
  <si>
    <t>AB Vilniaus Baldu Kombinatas</t>
  </si>
  <si>
    <t>2012.12.31.</t>
  </si>
  <si>
    <t>Resource structure ('000 LTL, except for employees)</t>
  </si>
  <si>
    <t>Growth</t>
  </si>
  <si>
    <t>Year</t>
  </si>
  <si>
    <t>Employees</t>
  </si>
  <si>
    <t>Sales</t>
  </si>
  <si>
    <t>Assets</t>
  </si>
  <si>
    <t>Liabilities</t>
  </si>
  <si>
    <t>Equity</t>
  </si>
  <si>
    <t>Change in equity</t>
  </si>
  <si>
    <t>relative to opening capital</t>
  </si>
  <si>
    <t>Analysis of capital employed (CE)</t>
  </si>
  <si>
    <t>end of period numbers</t>
  </si>
  <si>
    <t>Ch.E/Eq</t>
  </si>
  <si>
    <t>'=ROE</t>
  </si>
  <si>
    <t>- Div/Eq</t>
  </si>
  <si>
    <t>+/- Net new issues/Eq</t>
  </si>
  <si>
    <t>+/- Other/Eq</t>
  </si>
  <si>
    <t>LT assets/CE</t>
  </si>
  <si>
    <t>+ Nonop Assets/CE</t>
  </si>
  <si>
    <t>+ Non-cash WC/CE</t>
  </si>
  <si>
    <t>+ Cash/CE</t>
  </si>
  <si>
    <t>- Other LT Liab/ CE</t>
  </si>
  <si>
    <t>'=Eq/CE</t>
  </si>
  <si>
    <t>+ ibDebt/CE</t>
  </si>
  <si>
    <t>Leverage formula</t>
  </si>
  <si>
    <t>Turnover of capital employed</t>
  </si>
  <si>
    <t>ROE</t>
  </si>
  <si>
    <t>'=(1-t)</t>
  </si>
  <si>
    <t>*[ROCE</t>
  </si>
  <si>
    <t>+(ROCE</t>
  </si>
  <si>
    <t>- Rd)</t>
  </si>
  <si>
    <t>Debt/Eq]</t>
  </si>
  <si>
    <t>TOCE</t>
  </si>
  <si>
    <t>'=SALES</t>
  </si>
  <si>
    <t>/ opening CE</t>
  </si>
  <si>
    <t>CE, end of period</t>
  </si>
  <si>
    <t>Du Pont analysis</t>
  </si>
  <si>
    <t>Analysis of profit margin (%)</t>
  </si>
  <si>
    <t>ROCE</t>
  </si>
  <si>
    <t>EBIT margin</t>
  </si>
  <si>
    <t>* TOCE</t>
  </si>
  <si>
    <t>EBIT margin</t>
  </si>
  <si>
    <t>'= S/S</t>
  </si>
  <si>
    <t>- COGS/S</t>
  </si>
  <si>
    <t>- Marketing/S</t>
  </si>
  <si>
    <t>- Admin/S</t>
  </si>
  <si>
    <t>- R&amp;D/S</t>
  </si>
  <si>
    <t>- Depr/S</t>
  </si>
  <si>
    <t>+/- Financial</t>
  </si>
  <si>
    <t>+/- Other</t>
  </si>
  <si>
    <t>Capital structure</t>
  </si>
  <si>
    <t>end of period</t>
  </si>
  <si>
    <t>Working capital (%)</t>
  </si>
  <si>
    <t>Cash conversion cycle (days)</t>
  </si>
  <si>
    <t>averages</t>
  </si>
  <si>
    <t>ibDebt/A (%)</t>
  </si>
  <si>
    <t>Equity/A (%)</t>
  </si>
  <si>
    <t>Assets/Eq (x)</t>
  </si>
  <si>
    <t>Non-cash WC/S</t>
  </si>
  <si>
    <t>Acc.rec./S</t>
  </si>
  <si>
    <t>Inv/S</t>
  </si>
  <si>
    <t>Acc.pay./S</t>
  </si>
  <si>
    <t>Debtor days</t>
  </si>
  <si>
    <t>Inventory days</t>
  </si>
  <si>
    <t>Payables days</t>
  </si>
  <si>
    <t>Cash conversion cycle</t>
  </si>
  <si>
    <t>Per employee ('000 LVL)</t>
  </si>
  <si>
    <t>Margins</t>
  </si>
  <si>
    <t>PPE analysis</t>
  </si>
  <si>
    <t>Asset turnover (S/A)</t>
  </si>
  <si>
    <t>Sales/Empl.</t>
  </si>
  <si>
    <t>Assets/Empl.</t>
  </si>
  <si>
    <t>Net income/Empl.</t>
  </si>
  <si>
    <t>EBITDA/S</t>
  </si>
  <si>
    <t>EBIT/S</t>
  </si>
  <si>
    <t>Net income/S</t>
  </si>
  <si>
    <t>Average age PPE</t>
  </si>
  <si>
    <t>Remaining useful life PPE</t>
  </si>
  <si>
    <t>Capex/Depr (x)</t>
  </si>
  <si>
    <t>Net Capex/Sales</t>
  </si>
  <si>
    <t>Source data</t>
  </si>
  <si>
    <t>time deposits</t>
  </si>
  <si>
    <t>Total assets</t>
  </si>
  <si>
    <t>Long-term assets</t>
  </si>
  <si>
    <t>Non-operating LT assets</t>
  </si>
  <si>
    <t>Inventories</t>
  </si>
  <si>
    <t>Trade receivables</t>
  </si>
  <si>
    <t>Other receivables</t>
  </si>
  <si>
    <t>Non-operating ST assets</t>
  </si>
  <si>
    <t>Cash and cash equivalents</t>
  </si>
  <si>
    <t>Dividends</t>
  </si>
  <si>
    <t>Net new equity issues</t>
  </si>
  <si>
    <t>Other equity changes</t>
  </si>
  <si>
    <t>Share capital</t>
  </si>
  <si>
    <t>Retained earnings</t>
  </si>
  <si>
    <t>Other equity</t>
  </si>
  <si>
    <t>Total liabilities</t>
  </si>
  <si>
    <t>Long-term loans</t>
  </si>
  <si>
    <t>Other LT Liabilities</t>
  </si>
  <si>
    <t>ST loans</t>
  </si>
  <si>
    <t>Trade payables</t>
  </si>
  <si>
    <t>Other ST liabilities</t>
  </si>
  <si>
    <t>Non-cash Working Capital</t>
  </si>
  <si>
    <t>R&amp;D (in COGS)</t>
  </si>
  <si>
    <t>COGS</t>
  </si>
  <si>
    <t>Depr&amp;Amort in COGS</t>
  </si>
  <si>
    <t>Marketing costs</t>
  </si>
  <si>
    <t>Depr&amp;Amort in Marketing costs</t>
  </si>
  <si>
    <t>Admin costs</t>
  </si>
  <si>
    <t>Depr&amp;Amort. in Admin costs</t>
  </si>
  <si>
    <t>Other inc/exp</t>
  </si>
  <si>
    <t>Financial inc/exp</t>
  </si>
  <si>
    <t>Interest expense</t>
  </si>
  <si>
    <t>Tax</t>
  </si>
  <si>
    <t>EBIT</t>
  </si>
  <si>
    <t>Net income</t>
  </si>
  <si>
    <t>Ending gross  PPE</t>
  </si>
  <si>
    <t>Accumulated depreciation PPE</t>
  </si>
  <si>
    <t>Ending net PPE</t>
  </si>
  <si>
    <t>Annual depreciation expense PPE</t>
  </si>
  <si>
    <t>CAPEX</t>
  </si>
  <si>
    <t>Proceeds of sale of PPE</t>
  </si>
  <si>
    <t>Fully depr PPE &amp; Intangible assets (at cost)</t>
  </si>
  <si>
    <t/>
  </si>
  <si>
    <t>INPUTS</t>
  </si>
  <si>
    <t>2013(F)</t>
  </si>
  <si>
    <t>2014(F)</t>
  </si>
  <si>
    <t>2015(F)</t>
  </si>
  <si>
    <t>2016(F)</t>
  </si>
  <si>
    <t>2017(F)</t>
  </si>
  <si>
    <t>Change in Revenues</t>
  </si>
  <si>
    <t>Lithuania</t>
  </si>
  <si>
    <t>Other EU countries</t>
  </si>
  <si>
    <t>Outside the EU</t>
  </si>
  <si>
    <t>Change in expenses</t>
  </si>
  <si>
    <t>Materials</t>
  </si>
  <si>
    <t>Other production expenses</t>
  </si>
  <si>
    <t>Wages, salaries</t>
  </si>
  <si>
    <t>Transportation and logistics expenses</t>
  </si>
  <si>
    <t>Other operating expenses</t>
  </si>
  <si>
    <t>Other expenses</t>
  </si>
  <si>
    <t>Other income</t>
  </si>
  <si>
    <t>Depreciation and amortization</t>
  </si>
  <si>
    <t>Land and buildings</t>
  </si>
  <si>
    <t>Machinery and equipment</t>
  </si>
  <si>
    <t>Vehicles</t>
  </si>
  <si>
    <t>Other</t>
  </si>
  <si>
    <t>Intangible assets</t>
  </si>
  <si>
    <t>Taxation</t>
  </si>
  <si>
    <t>Corporate income tax</t>
  </si>
  <si>
    <t>Working Capital</t>
  </si>
  <si>
    <t>Credit days</t>
  </si>
  <si>
    <t>LT loans</t>
  </si>
  <si>
    <t>Other</t>
  </si>
  <si>
    <t>Other current liabilities and accrued expenses</t>
  </si>
  <si>
    <t>Provision for employee benefits</t>
  </si>
  <si>
    <t>Dividends from NP</t>
  </si>
  <si>
    <t>Time deposits</t>
  </si>
  <si>
    <t>Investment in assets</t>
  </si>
  <si>
    <t>Investment in land and buildings</t>
  </si>
  <si>
    <t>Investment in machinery and equipment</t>
  </si>
  <si>
    <t>Investment in vehicles</t>
  </si>
  <si>
    <t>Investment in other PPE</t>
  </si>
  <si>
    <t>Investment in intangible assets</t>
  </si>
  <si>
    <t>Land and Buildings</t>
  </si>
  <si>
    <t>Opening balance</t>
  </si>
  <si>
    <t>Depreciation</t>
  </si>
  <si>
    <t>Net new investment</t>
  </si>
  <si>
    <t>Net book value (End of period)</t>
  </si>
  <si>
    <t>Depreciation rate</t>
  </si>
  <si>
    <t>Other PPE</t>
  </si>
  <si>
    <t>Amortization</t>
  </si>
  <si>
    <t>Amortization rate</t>
  </si>
  <si>
    <t>Consolidated income statement at December 31 2012  (in '000 LTL)</t>
  </si>
  <si>
    <t>Revenues:</t>
  </si>
  <si>
    <t>Lithuania</t>
  </si>
  <si>
    <t>Other EU countries</t>
  </si>
  <si>
    <t>Cost of sales:</t>
  </si>
  <si>
    <t>Gross profit</t>
  </si>
  <si>
    <t>Operating expenses:</t>
  </si>
  <si>
    <t>Other income:</t>
  </si>
  <si>
    <t>Other expenses:</t>
  </si>
  <si>
    <t>EBITDA</t>
  </si>
  <si>
    <t>Depreciation and amortisation</t>
  </si>
  <si>
    <t>Interest income</t>
  </si>
  <si>
    <t>Currency exchange gain</t>
  </si>
  <si>
    <t>Currency exchange (expenses)</t>
  </si>
  <si>
    <t>EBT</t>
  </si>
  <si>
    <t>Income tax expenses</t>
  </si>
  <si>
    <t>Net profit for the year</t>
  </si>
  <si>
    <t>Consolidated balance sheet at December 31 2012 (in '000 LTL)</t>
  </si>
  <si>
    <t>ASSETS</t>
  </si>
  <si>
    <t>Fixed assets:</t>
  </si>
  <si>
    <t>Property, plant, equipment</t>
  </si>
  <si>
    <t>Total non-current financial assets</t>
  </si>
  <si>
    <t/>
  </si>
  <si>
    <t>Deferred income tax asset</t>
  </si>
  <si>
    <t>Current Assets:</t>
  </si>
  <si>
    <t>Cash &amp; cash receivables</t>
  </si>
  <si>
    <t>TOTAL ASSETS</t>
  </si>
  <si>
    <t>EQUITY</t>
  </si>
  <si>
    <t>Total equity</t>
  </si>
  <si>
    <t>LIABILITIES</t>
  </si>
  <si>
    <t>Non-current liabilities</t>
  </si>
  <si>
    <t>LT Loans</t>
  </si>
  <si>
    <t>Provisions for employee benefits</t>
  </si>
  <si>
    <t>Current liabilities</t>
  </si>
  <si>
    <t>ST Loans</t>
  </si>
  <si>
    <t>Current income tax payable</t>
  </si>
  <si>
    <t>TOTAL LIABILITIES</t>
  </si>
  <si>
    <t>TOTAL EQUITY AND LIABILITIES</t>
  </si>
  <si>
    <t>Consolidated cash flow statement at December 31  2012  (in '000 LTL)</t>
  </si>
  <si>
    <t>Cash flow from operating activities</t>
  </si>
  <si>
    <t>Profit before income tax</t>
  </si>
  <si>
    <t>Adjustments for:</t>
  </si>
  <si>
    <t>Deffered income tax</t>
  </si>
  <si>
    <t>Taxes paid</t>
  </si>
  <si>
    <t>Decrease (increase) in inventories</t>
  </si>
  <si>
    <t>Decrease (increase) in debtors</t>
  </si>
  <si>
    <t>Increase (decrease) in creditors</t>
  </si>
  <si>
    <t>Change in provision for employee benefits</t>
  </si>
  <si>
    <t>Other changes in Working Capital</t>
  </si>
  <si>
    <t>Net cash flows from operating activities</t>
  </si>
  <si>
    <t>Investment in FA</t>
  </si>
  <si>
    <t>Investment in intangable assets</t>
  </si>
  <si>
    <t>Net cash flow from investing activities</t>
  </si>
  <si>
    <t>Cash flow from financing activities</t>
  </si>
  <si>
    <t>New share issues</t>
  </si>
  <si>
    <t>Repayment of loans</t>
  </si>
  <si>
    <t>Dividends paid</t>
  </si>
  <si>
    <t>Net cash flow from (used in) financing activities</t>
  </si>
  <si>
    <t>Net (decrease) increase in cash and cash equivalents</t>
  </si>
  <si>
    <t>Cash and cash equivalents at the beginning of the year</t>
  </si>
  <si>
    <t>Cash and cash equivalents at the end of the year</t>
  </si>
  <si>
    <t>Free cash flows  (in '000 LTL)</t>
  </si>
  <si>
    <t>Cash Flow from Operating Activities</t>
  </si>
  <si>
    <t>Tax on EBIT</t>
  </si>
  <si>
    <t>NOPLAT</t>
  </si>
  <si>
    <t>Change in inventory</t>
  </si>
  <si>
    <t>Change in debtors</t>
  </si>
  <si>
    <t>Change in creditors</t>
  </si>
  <si>
    <t>Other changes in working capital</t>
  </si>
  <si>
    <t>Interest income after tax</t>
  </si>
  <si>
    <t>Total Cash Flow from Operating Activities</t>
  </si>
  <si>
    <t>Cash Flow from Investing Activities</t>
  </si>
  <si>
    <t>Total Cash Flow from Investing Activities</t>
  </si>
  <si>
    <t>Free Cash Flows</t>
  </si>
  <si>
    <t>Cash Flow from Financing Activities</t>
  </si>
  <si>
    <t>Interest expenses after tax</t>
  </si>
  <si>
    <t>Total Cash Flow from Financing Activities</t>
  </si>
  <si>
    <t>Capital Assets Pricing Model (CAPM)</t>
  </si>
  <si>
    <t>Re = Rf + b*RPb + RPc</t>
  </si>
  <si>
    <t>Rf = Risk-free interest rate</t>
  </si>
  <si>
    <t>RPb = Base risk premium for mature market</t>
  </si>
  <si>
    <t>RPc = Country risk premium</t>
  </si>
  <si>
    <t>β for furniture/home furnishing industry</t>
  </si>
  <si>
    <t>Re = required rate of return on equity</t>
  </si>
  <si>
    <t>Weighter Average Cost of Capital</t>
  </si>
  <si>
    <t>Average</t>
  </si>
  <si>
    <t>MV(Equity)</t>
  </si>
  <si>
    <t>MV(Dib)</t>
  </si>
  <si>
    <t>CODib</t>
  </si>
  <si>
    <t>Tc</t>
  </si>
  <si>
    <t>Re</t>
  </si>
  <si>
    <t>WACC</t>
  </si>
  <si>
    <t>EVA (Residual Income Model)</t>
  </si>
  <si>
    <t>Period</t>
  </si>
  <si>
    <t>Expected ROE in steady state</t>
  </si>
  <si>
    <t>Opening equity</t>
  </si>
  <si>
    <t>Expected Growth in steady state</t>
  </si>
  <si>
    <t>Residual return</t>
  </si>
  <si>
    <t>Number of shares (thousands)</t>
  </si>
  <si>
    <t>Residual income</t>
  </si>
  <si>
    <t>Horizon value</t>
  </si>
  <si>
    <t>PV of residual income</t>
  </si>
  <si>
    <t>Value of equity</t>
  </si>
  <si>
    <t>Value of equity per share</t>
  </si>
  <si>
    <t>Value per share 2012.04.26</t>
  </si>
  <si>
    <t>Increase (decrease) percentage</t>
  </si>
  <si>
    <t>Valuation conclusion</t>
  </si>
  <si>
    <t>Discounted Cash Flow model (DCF)</t>
  </si>
  <si>
    <t>Discount factor</t>
  </si>
  <si>
    <t>Present value FCF</t>
  </si>
  <si>
    <t>Industry growth rate</t>
  </si>
  <si>
    <t>PV company</t>
  </si>
  <si>
    <t>Total shares</t>
  </si>
  <si>
    <t>Shares real value</t>
  </si>
  <si>
    <t>Company</t>
  </si>
  <si>
    <t>Country</t>
  </si>
  <si>
    <t>Current PE</t>
  </si>
  <si>
    <t>PBV</t>
  </si>
  <si>
    <t>PS</t>
  </si>
  <si>
    <t>EV/EBITDA</t>
  </si>
  <si>
    <t>EV/Sales</t>
  </si>
  <si>
    <t>Payout ratio</t>
  </si>
  <si>
    <t>Book Debt to capital ratio</t>
  </si>
  <si>
    <t>Klaipėdos baldai</t>
  </si>
  <si>
    <t>Skano Group</t>
  </si>
  <si>
    <t>Estonia</t>
  </si>
  <si>
    <t>NA</t>
  </si>
  <si>
    <t>Juteks</t>
  </si>
  <si>
    <t>Slovenia</t>
  </si>
  <si>
    <t>Gorenje</t>
  </si>
  <si>
    <t>Finvest Corp</t>
  </si>
  <si>
    <t>Croatia</t>
  </si>
  <si>
    <t>Fabryki Mebli FORTE</t>
  </si>
  <si>
    <t>Poland</t>
  </si>
  <si>
    <t>Decora</t>
  </si>
  <si>
    <t>Zaklady Lentex</t>
  </si>
  <si>
    <t>Walker Greenbank</t>
  </si>
  <si>
    <t>U.K.</t>
  </si>
  <si>
    <t>High</t>
  </si>
  <si>
    <t>Median</t>
  </si>
  <si>
    <t>Low</t>
  </si>
  <si>
    <t>VILNIAUS BALDAI</t>
  </si>
  <si>
    <t>Key Ratios</t>
  </si>
  <si>
    <t>Growth in sales</t>
  </si>
  <si>
    <t>Sales/Sales(0)-1</t>
  </si>
  <si>
    <t>Growth in assets</t>
  </si>
  <si>
    <t>Assets/Assets(0)-1</t>
  </si>
  <si>
    <t>Growth in equity</t>
  </si>
  <si>
    <t>Equity/Equity(0)-1</t>
  </si>
  <si>
    <t>Growth in income</t>
  </si>
  <si>
    <t>Net Income/Net Income(0)-1</t>
  </si>
  <si>
    <t>Growth in debt</t>
  </si>
  <si>
    <t>Liabilities/Liabilities(0)-1</t>
  </si>
  <si>
    <t>Profitability</t>
  </si>
  <si>
    <t>Net profitability</t>
  </si>
  <si>
    <t>Net profit/sales</t>
  </si>
  <si>
    <t>ROE (Leverage ROCE)</t>
  </si>
  <si>
    <t>(1-t)*[ROCE+(ROCE-CODib)*Dib/E]</t>
  </si>
  <si>
    <t>EBIT/CE</t>
  </si>
  <si>
    <t>CE</t>
  </si>
  <si>
    <t>Total equity+Interest-bearing liabilities</t>
  </si>
  <si>
    <t>Effective tax rate</t>
  </si>
  <si>
    <t>Tax expense/EBT</t>
  </si>
  <si>
    <t>Interest expense/Total interest bearing liabilities</t>
  </si>
  <si>
    <t>ROE (Leverage ROA)</t>
  </si>
  <si>
    <t>(1-t)*[ROA+(ROA-COD)*D/E]</t>
  </si>
  <si>
    <t>ROA</t>
  </si>
  <si>
    <t>EBIT/Total assets(0)</t>
  </si>
  <si>
    <t>COD</t>
  </si>
  <si>
    <t>Interest expense/Total liabilities</t>
  </si>
  <si>
    <t>ROCE (DuPont)</t>
  </si>
  <si>
    <t>Profit margin*TOCE</t>
  </si>
  <si>
    <t>Profit margin</t>
  </si>
  <si>
    <t>EBIT/Sales</t>
  </si>
  <si>
    <t>Sales/CE</t>
  </si>
  <si>
    <t>Financial position</t>
  </si>
  <si>
    <t>Working Capital (WC)</t>
  </si>
  <si>
    <t>Current Assets-Current liabilities</t>
  </si>
  <si>
    <t>WC as a percent of sales</t>
  </si>
  <si>
    <t>WC/Sales</t>
  </si>
  <si>
    <t>Equity ratio</t>
  </si>
  <si>
    <t>Total equity/Total assets</t>
  </si>
  <si>
    <t>D/E</t>
  </si>
  <si>
    <t>Total liabilities/Total equity</t>
  </si>
  <si>
    <t>Dib/E</t>
  </si>
  <si>
    <t>Total interest-bearing liabilities/Equity</t>
  </si>
  <si>
    <t>Equity/sales</t>
  </si>
  <si>
    <t>Total equity/Sales</t>
  </si>
  <si>
    <t>Dividend/Net profit</t>
  </si>
  <si>
    <t>Debt ratio</t>
  </si>
  <si>
    <t>Total liabilities/Total assets</t>
  </si>
  <si>
    <t>Liquidity</t>
  </si>
  <si>
    <t>Quick ratio</t>
  </si>
  <si>
    <t>(Current assets-Inventories)/Current liabilities</t>
  </si>
  <si>
    <t>Current ratio</t>
  </si>
  <si>
    <t>Current assets/Current liabilities</t>
  </si>
  <si>
    <t>Cash ratio</t>
  </si>
  <si>
    <t>(Cash+Marketable securities)/Current liabilities</t>
  </si>
  <si>
    <t>Cash availability ratio</t>
  </si>
  <si>
    <t>(Cash+Cash equiv)/Sales*365)</t>
  </si>
  <si>
    <t>Interest coverage ratio</t>
  </si>
  <si>
    <t>EBIT/Interest expense</t>
  </si>
  <si>
    <t>Cash cycle ratios</t>
  </si>
  <si>
    <t>Inventory turnover</t>
  </si>
  <si>
    <t>COGS/Average inventory</t>
  </si>
  <si>
    <t>Receivables turnover</t>
  </si>
  <si>
    <t>Sales/Average receivables</t>
  </si>
  <si>
    <t>Payables turnover</t>
  </si>
  <si>
    <t>Purchases/Average trade payables</t>
  </si>
  <si>
    <t>365/Receivables turnover</t>
  </si>
  <si>
    <t>365/Inventory turnover</t>
  </si>
  <si>
    <t>Payable days</t>
  </si>
  <si>
    <t>365/Payables turnover</t>
  </si>
  <si>
    <t>Inventory days+Debtor days-Payable days</t>
  </si>
  <si>
    <t>Sensitivity Anaysis - Terminal Value Approach: Growth In Perpetuity Method</t>
  </si>
  <si>
    <t>Discount rate</t>
  </si>
  <si>
    <t>Growth rate</t>
  </si>
  <si>
    <t>Firm value ('000 LTL)</t>
  </si>
  <si>
    <t>Exp. Growth in St. State</t>
  </si>
  <si>
    <t>Dicsount rate</t>
  </si>
  <si>
    <t>Share price (LTL)</t>
  </si>
  <si>
    <t>Required rate of return</t>
  </si>
  <si>
    <t>Background information</t>
  </si>
  <si>
    <t>Currency exchange (expense)</t>
  </si>
  <si>
    <t>Currency exchange (gain)</t>
  </si>
  <si>
    <t>Borrowings</t>
  </si>
  <si>
    <t>http://www.bloomberg.com/quote/GDBR10:IND</t>
  </si>
  <si>
    <t>http://people.stern.nyu.edu/adamodar/</t>
  </si>
  <si>
    <t>http://people.stern.nyu.edu/adamodar/pdfiles/papers/ERP2012.pdf</t>
  </si>
  <si>
    <t>Fair value of the company</t>
  </si>
  <si>
    <t>Gain on foreign exchange</t>
  </si>
  <si>
    <t>Deffered income tax (asset)</t>
  </si>
  <si>
    <t>Operating Profit</t>
  </si>
  <si>
    <t>DK</t>
  </si>
  <si>
    <t>DESIGNA A_S</t>
  </si>
  <si>
    <t>SE</t>
  </si>
  <si>
    <t>KUNGSÄNGEN PRODUKTION AB</t>
  </si>
  <si>
    <t>LT</t>
  </si>
  <si>
    <t>UAB SWEDWOOD KAZLŲ RŪDA</t>
  </si>
  <si>
    <t>NORDIC KITCHEN GROUP AB</t>
  </si>
  <si>
    <t>ITAB SHOP CONCEPT NÄSSJÖ AB</t>
  </si>
  <si>
    <t>TOPI-KALUSTAJA OY</t>
  </si>
  <si>
    <t>FI</t>
  </si>
  <si>
    <t>TRESTON OY</t>
  </si>
  <si>
    <t>AB EDSBYVERKEN</t>
  </si>
  <si>
    <t>HILDING ANDERS SWEDEN AB</t>
  </si>
  <si>
    <t>DANSANI A_S</t>
  </si>
  <si>
    <t>NO</t>
  </si>
  <si>
    <t>ITAB SHOP CONCEPT AS</t>
  </si>
  <si>
    <t>DUBA-B8 A_S</t>
  </si>
  <si>
    <t>STJERNFJÄDRAR AKTIEBOLAG</t>
  </si>
  <si>
    <t>VEDUM KÖK OCH BAD AKTIEBOLAG</t>
  </si>
  <si>
    <t>PALLCO AKTIEBOLAG</t>
  </si>
  <si>
    <t>SVEDBERGS I DALSTORP AB</t>
  </si>
  <si>
    <t>KINNARPS PRODUCTION AKTIEB</t>
  </si>
  <si>
    <t>SIGDAL KJØKKEN AS</t>
  </si>
  <si>
    <t>AB KLAIPĖDOS MEDIENA</t>
  </si>
  <si>
    <t>AB KLAIPĖDOS BALDAI</t>
  </si>
  <si>
    <t>FE</t>
  </si>
  <si>
    <t>ISKU TEOLLISUUS OY</t>
  </si>
  <si>
    <t>FRITZ HANSEN A_S</t>
  </si>
  <si>
    <t>SPALJISTEN AKTIEBOLAG</t>
  </si>
  <si>
    <t>EFG EUROPEAN FURNITURE GRO</t>
  </si>
  <si>
    <t>n.a.</t>
  </si>
  <si>
    <t>EXPEDIT A_S</t>
  </si>
  <si>
    <t>SWEDWOOD TIBRO AB</t>
  </si>
  <si>
    <t>AB FREDA</t>
  </si>
  <si>
    <t>BALLINGSLÖV AKTIEBOLAG</t>
  </si>
  <si>
    <t>HILDING ANDERS DANMARK A_S</t>
  </si>
  <si>
    <t>SWEDWOOD ÄLMHULT AB</t>
  </si>
  <si>
    <t>PUUSTELLI GROUP OY</t>
  </si>
  <si>
    <t>SWEDWOOD HULTSFRED AB</t>
  </si>
  <si>
    <t>NOVART OY</t>
  </si>
  <si>
    <t>SCANDINAVIAN BUSINESS SEAT</t>
  </si>
  <si>
    <t>Quick Ratio</t>
  </si>
  <si>
    <t>Current Ratio</t>
  </si>
  <si>
    <t>Cash Conversion Cycle (days)</t>
  </si>
  <si>
    <t>Profit Margin (%)</t>
  </si>
  <si>
    <t>ROA (%)</t>
  </si>
  <si>
    <t>ROE (%)</t>
  </si>
  <si>
    <t>Cash Cycle Ratios</t>
  </si>
  <si>
    <t>Share price 2012.04.26</t>
  </si>
  <si>
    <t>EPS</t>
  </si>
  <si>
    <t>Relative value (Current PE)</t>
  </si>
  <si>
    <t xml:space="preserve">Increase/decrease </t>
  </si>
  <si>
    <t>Industry average</t>
  </si>
  <si>
    <t>Vilniaus Baldai for 2009</t>
  </si>
  <si>
    <t>Vilniaus Baldai for 2010</t>
  </si>
  <si>
    <t>Vilniaus Baldai for 2011</t>
  </si>
  <si>
    <t>Gross margin</t>
  </si>
  <si>
    <t>Gross profit/sales</t>
  </si>
  <si>
    <t>Value per share 2012.05.03</t>
  </si>
  <si>
    <t>% Sales</t>
  </si>
  <si>
    <t>http://people.stern.nyu.edu/adamodar/New_Home_Page/datafile/ctryprem.html</t>
  </si>
  <si>
    <t>http://people.stern.nyu.edu/adamodar/New_Home_Page/datafile/histgr.html</t>
  </si>
  <si>
    <t>Valuation using multiples, 2013</t>
  </si>
  <si>
    <t>Valuation Conclusion, 2013</t>
  </si>
  <si>
    <t>NOTE: In order to change the scenario. click the What-if Analysis ==&gt; Scenario Manager</t>
  </si>
  <si>
    <t>Wages. salaries</t>
  </si>
  <si>
    <t xml:space="preserve"> </t>
  </si>
  <si>
    <t>Terminal Value</t>
  </si>
  <si>
    <t>Increase/Decrease in operating cash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</si>
</sst>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(* #,##0.00_);_(* \(#,##0.00\);_(* &quot;-&quot;??_);_(@_)"/>
    <numFmt numFmtId="165" formatCode="_-* #,##0.00\ _L_t_-;\-* #,##0.00\ _L_t_-;_-* &quot;-&quot;??\ _L_t_-;_-@_-"/>
    <numFmt numFmtId="166" formatCode="#,##0.000"/>
    <numFmt numFmtId="167" formatCode="0.0%"/>
    <numFmt numFmtId="168" formatCode="#,##0.0_);\(#,##0.0\)"/>
    <numFmt numFmtId="169" formatCode="#,##0.0"/>
  </numFmts>
  <fonts count="104" x14ac:knownFonts="1">
    <font>
      <sz val="10"/>
      <color rgb="FF000000"/>
      <name val="Arial"/>
    </font>
    <font>
      <sz val="10"/>
      <color rgb="FFFF0000"/>
      <name val="Arial"/>
      <family val="2"/>
      <charset val="186"/>
    </font>
    <font>
      <sz val="10"/>
      <color rgb="FF00FFFF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0"/>
      <color rgb="FFFF0000"/>
      <name val="Arial"/>
      <family val="2"/>
      <charset val="186"/>
    </font>
    <font>
      <b/>
      <sz val="10"/>
      <color rgb="FFFFFFFF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0"/>
      <color rgb="FFFFFFFF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i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FF0000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0"/>
      <color rgb="FFFFFFFF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0"/>
      <color rgb="FFFFFFFF"/>
      <name val="Arial"/>
      <family val="2"/>
      <charset val="186"/>
    </font>
    <font>
      <b/>
      <sz val="10"/>
      <color rgb="FFFFFFFF"/>
      <name val="Arial"/>
      <family val="2"/>
      <charset val="186"/>
    </font>
    <font>
      <b/>
      <sz val="10"/>
      <color rgb="FF000000"/>
      <name val="Arial"/>
      <family val="2"/>
      <charset val="186"/>
    </font>
    <font>
      <i/>
      <sz val="10"/>
      <color rgb="FF000000"/>
      <name val="Arial"/>
      <family val="2"/>
      <charset val="186"/>
    </font>
    <font>
      <sz val="10"/>
      <color rgb="FFFFFFFF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0"/>
      <color rgb="FFFFFFFF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i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0"/>
      <color rgb="FFFF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i/>
      <sz val="10"/>
      <color rgb="FF000000"/>
      <name val="Arial"/>
      <family val="2"/>
      <charset val="186"/>
    </font>
    <font>
      <sz val="10"/>
      <color rgb="FFFFFFFF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0"/>
      <color rgb="FFFFFFFF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0"/>
      <color rgb="FFFFFFFF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0"/>
      <color rgb="FFFF0000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0"/>
      <color rgb="FFFF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0"/>
      <color rgb="FFFF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0"/>
      <color rgb="FFFF0000"/>
      <name val="Arial"/>
      <family val="2"/>
      <charset val="186"/>
    </font>
    <font>
      <sz val="10"/>
      <color rgb="FF000000"/>
      <name val="Arial"/>
      <family val="2"/>
      <charset val="186"/>
    </font>
    <font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b/>
      <sz val="11"/>
      <color rgb="FF000000"/>
      <name val="Arial"/>
      <family val="2"/>
      <charset val="186"/>
    </font>
    <font>
      <b/>
      <sz val="10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0"/>
      <color indexed="12"/>
      <name val="Arial"/>
      <family val="2"/>
    </font>
    <font>
      <i/>
      <sz val="10"/>
      <color indexed="55"/>
      <name val="Arial"/>
      <family val="2"/>
    </font>
    <font>
      <sz val="10"/>
      <color indexed="55"/>
      <name val="Arial"/>
      <family val="2"/>
    </font>
    <font>
      <b/>
      <sz val="10"/>
      <color indexed="60"/>
      <name val="Arial"/>
      <family val="2"/>
    </font>
    <font>
      <b/>
      <sz val="10"/>
      <color indexed="60"/>
      <name val="Arial"/>
      <family val="2"/>
      <charset val="186"/>
    </font>
    <font>
      <b/>
      <sz val="10"/>
      <color theme="0"/>
      <name val="Arial Narrow"/>
      <family val="2"/>
    </font>
    <font>
      <i/>
      <sz val="10"/>
      <color theme="0"/>
      <name val="Arial"/>
      <family val="2"/>
    </font>
    <font>
      <u/>
      <sz val="9"/>
      <color theme="10"/>
      <name val="Arial"/>
      <family val="2"/>
      <charset val="186"/>
    </font>
    <font>
      <b/>
      <sz val="10"/>
      <color theme="0"/>
      <name val="Arial"/>
      <family val="2"/>
      <charset val="186"/>
    </font>
    <font>
      <sz val="10"/>
      <color theme="0"/>
      <name val="Arial"/>
      <family val="2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charset val="186"/>
      <scheme val="minor"/>
    </font>
    <font>
      <sz val="12"/>
      <name val="Calibri"/>
      <family val="2"/>
      <charset val="186"/>
      <scheme val="minor"/>
    </font>
    <font>
      <b/>
      <sz val="12"/>
      <color rgb="FFFF0000"/>
      <name val="Calibri"/>
      <family val="2"/>
      <charset val="186"/>
      <scheme val="minor"/>
    </font>
    <font>
      <b/>
      <sz val="9"/>
      <color indexed="81"/>
      <name val="Calibri"/>
      <family val="2"/>
    </font>
    <font>
      <sz val="9"/>
      <color indexed="81"/>
      <name val="Calibri"/>
      <family val="2"/>
    </font>
    <font>
      <i/>
      <sz val="10"/>
      <color theme="0" tint="-0.249977111117893"/>
      <name val="Arial"/>
      <family val="2"/>
      <charset val="186"/>
    </font>
    <font>
      <b/>
      <i/>
      <sz val="10"/>
      <color theme="0" tint="-0.249977111117893"/>
      <name val="Arial"/>
      <family val="2"/>
      <charset val="186"/>
    </font>
    <font>
      <sz val="11"/>
      <color rgb="FFFF0000"/>
      <name val="Arial"/>
      <family val="2"/>
      <charset val="186"/>
    </font>
    <font>
      <sz val="10"/>
      <color rgb="FF000000"/>
      <name val="Arial"/>
      <family val="2"/>
    </font>
  </fonts>
  <fills count="128">
    <fill>
      <patternFill patternType="none"/>
    </fill>
    <fill>
      <patternFill patternType="gray125"/>
    </fill>
    <fill>
      <patternFill patternType="solid">
        <fgColor rgb="FF6FA8DC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4A86E8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4A86E8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6FA8DC"/>
        <bgColor indexed="64"/>
      </patternFill>
    </fill>
    <fill>
      <patternFill patternType="solid">
        <fgColor rgb="FF6FA8DC"/>
        <bgColor indexed="64"/>
      </patternFill>
    </fill>
    <fill>
      <patternFill patternType="solid">
        <fgColor rgb="FF4A86E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4A86E8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9FC5E8"/>
        <bgColor indexed="64"/>
      </patternFill>
    </fill>
    <fill>
      <patternFill patternType="solid">
        <fgColor rgb="FF6FA8DC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FA8DC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9FC5E8"/>
        <bgColor indexed="64"/>
      </patternFill>
    </fill>
    <fill>
      <patternFill patternType="solid">
        <fgColor rgb="FF4A86E8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6FA8DC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6FA8DC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6FA8DC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6FA8DC"/>
        <bgColor indexed="64"/>
      </patternFill>
    </fill>
    <fill>
      <patternFill patternType="solid">
        <fgColor rgb="FF9FC5E8"/>
        <bgColor indexed="64"/>
      </patternFill>
    </fill>
    <fill>
      <patternFill patternType="solid">
        <fgColor rgb="FF4A86E8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4A86E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6FA8DC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6FA8DC"/>
        <bgColor indexed="64"/>
      </patternFill>
    </fill>
    <fill>
      <patternFill patternType="solid">
        <fgColor rgb="FF6D9EEB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</fills>
  <borders count="20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165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87" fillId="0" borderId="0" applyNumberFormat="0" applyFill="0" applyBorder="0" applyAlignment="0" applyProtection="0">
      <alignment vertical="top"/>
      <protection locked="0"/>
    </xf>
    <xf numFmtId="0" fontId="92" fillId="0" borderId="0"/>
  </cellStyleXfs>
  <cellXfs count="489"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4" fillId="4" borderId="0" xfId="0" applyFont="1" applyFill="1" applyAlignment="1">
      <alignment wrapText="1"/>
    </xf>
    <xf numFmtId="0" fontId="6" fillId="8" borderId="4" xfId="0" applyFont="1" applyFill="1" applyBorder="1" applyAlignment="1">
      <alignment wrapText="1"/>
    </xf>
    <xf numFmtId="0" fontId="0" fillId="9" borderId="5" xfId="0" applyFill="1" applyBorder="1" applyAlignment="1">
      <alignment wrapText="1"/>
    </xf>
    <xf numFmtId="0" fontId="0" fillId="10" borderId="0" xfId="0" applyFill="1" applyAlignment="1">
      <alignment wrapText="1"/>
    </xf>
    <xf numFmtId="4" fontId="0" fillId="11" borderId="7" xfId="0" applyNumberFormat="1" applyFill="1" applyBorder="1" applyAlignment="1">
      <alignment wrapText="1"/>
    </xf>
    <xf numFmtId="10" fontId="0" fillId="0" borderId="8" xfId="0" applyNumberFormat="1" applyBorder="1" applyAlignment="1">
      <alignment wrapText="1"/>
    </xf>
    <xf numFmtId="0" fontId="8" fillId="0" borderId="11" xfId="0" applyFont="1" applyBorder="1" applyAlignment="1">
      <alignment horizontal="center" wrapText="1"/>
    </xf>
    <xf numFmtId="0" fontId="9" fillId="13" borderId="0" xfId="0" applyFont="1" applyFill="1" applyAlignment="1">
      <alignment wrapText="1"/>
    </xf>
    <xf numFmtId="4" fontId="0" fillId="14" borderId="12" xfId="0" applyNumberFormat="1" applyFill="1" applyBorder="1" applyAlignment="1">
      <alignment wrapText="1"/>
    </xf>
    <xf numFmtId="0" fontId="0" fillId="0" borderId="0" xfId="0" applyAlignment="1">
      <alignment horizontal="left" wrapText="1"/>
    </xf>
    <xf numFmtId="0" fontId="0" fillId="15" borderId="13" xfId="0" applyFill="1" applyBorder="1" applyAlignment="1">
      <alignment horizontal="left" wrapText="1"/>
    </xf>
    <xf numFmtId="0" fontId="11" fillId="17" borderId="15" xfId="0" applyFont="1" applyFill="1" applyBorder="1" applyAlignment="1">
      <alignment horizontal="right" wrapText="1"/>
    </xf>
    <xf numFmtId="0" fontId="12" fillId="18" borderId="16" xfId="0" applyFont="1" applyFill="1" applyBorder="1" applyAlignment="1">
      <alignment wrapText="1"/>
    </xf>
    <xf numFmtId="4" fontId="0" fillId="19" borderId="17" xfId="0" applyNumberFormat="1" applyFill="1" applyBorder="1" applyAlignment="1">
      <alignment wrapText="1"/>
    </xf>
    <xf numFmtId="0" fontId="0" fillId="21" borderId="20" xfId="0" applyFill="1" applyBorder="1" applyAlignment="1">
      <alignment horizontal="center" vertical="center" wrapText="1"/>
    </xf>
    <xf numFmtId="0" fontId="15" fillId="0" borderId="23" xfId="0" applyFont="1" applyBorder="1" applyAlignment="1">
      <alignment wrapText="1"/>
    </xf>
    <xf numFmtId="0" fontId="16" fillId="24" borderId="26" xfId="0" applyFont="1" applyFill="1" applyBorder="1" applyAlignment="1">
      <alignment wrapText="1"/>
    </xf>
    <xf numFmtId="4" fontId="18" fillId="25" borderId="30" xfId="0" applyNumberFormat="1" applyFont="1" applyFill="1" applyBorder="1" applyAlignment="1">
      <alignment wrapText="1"/>
    </xf>
    <xf numFmtId="10" fontId="0" fillId="0" borderId="32" xfId="0" applyNumberFormat="1" applyBorder="1" applyAlignment="1">
      <alignment wrapText="1"/>
    </xf>
    <xf numFmtId="0" fontId="0" fillId="28" borderId="34" xfId="0" applyFill="1" applyBorder="1" applyAlignment="1">
      <alignment wrapText="1"/>
    </xf>
    <xf numFmtId="0" fontId="19" fillId="29" borderId="35" xfId="0" applyFont="1" applyFill="1" applyBorder="1" applyAlignment="1">
      <alignment wrapText="1"/>
    </xf>
    <xf numFmtId="4" fontId="20" fillId="0" borderId="39" xfId="0" applyNumberFormat="1" applyFont="1" applyBorder="1" applyAlignment="1">
      <alignment wrapText="1"/>
    </xf>
    <xf numFmtId="4" fontId="0" fillId="32" borderId="0" xfId="0" applyNumberFormat="1" applyFill="1" applyAlignment="1">
      <alignment wrapText="1"/>
    </xf>
    <xf numFmtId="0" fontId="21" fillId="0" borderId="0" xfId="0" applyFont="1" applyAlignment="1">
      <alignment wrapText="1"/>
    </xf>
    <xf numFmtId="0" fontId="22" fillId="0" borderId="0" xfId="0" applyFont="1" applyAlignment="1">
      <alignment wrapText="1"/>
    </xf>
    <xf numFmtId="4" fontId="0" fillId="0" borderId="45" xfId="0" applyNumberFormat="1" applyBorder="1" applyAlignment="1">
      <alignment wrapText="1"/>
    </xf>
    <xf numFmtId="0" fontId="0" fillId="0" borderId="46" xfId="0" applyBorder="1" applyAlignment="1">
      <alignment wrapText="1"/>
    </xf>
    <xf numFmtId="0" fontId="24" fillId="35" borderId="47" xfId="0" applyFont="1" applyFill="1" applyBorder="1" applyAlignment="1">
      <alignment wrapText="1"/>
    </xf>
    <xf numFmtId="4" fontId="25" fillId="36" borderId="0" xfId="0" applyNumberFormat="1" applyFont="1" applyFill="1" applyAlignment="1">
      <alignment wrapText="1"/>
    </xf>
    <xf numFmtId="0" fontId="26" fillId="37" borderId="50" xfId="0" applyFont="1" applyFill="1" applyBorder="1" applyAlignment="1">
      <alignment wrapText="1"/>
    </xf>
    <xf numFmtId="4" fontId="0" fillId="0" borderId="51" xfId="0" applyNumberFormat="1" applyBorder="1" applyAlignment="1">
      <alignment wrapText="1"/>
    </xf>
    <xf numFmtId="10" fontId="0" fillId="0" borderId="0" xfId="0" applyNumberFormat="1" applyAlignment="1">
      <alignment wrapText="1"/>
    </xf>
    <xf numFmtId="0" fontId="27" fillId="38" borderId="52" xfId="0" applyFont="1" applyFill="1" applyBorder="1" applyAlignment="1">
      <alignment wrapText="1"/>
    </xf>
    <xf numFmtId="0" fontId="28" fillId="39" borderId="53" xfId="0" applyFont="1" applyFill="1" applyBorder="1" applyAlignment="1">
      <alignment wrapText="1"/>
    </xf>
    <xf numFmtId="0" fontId="0" fillId="41" borderId="55" xfId="0" applyFill="1" applyBorder="1" applyAlignment="1">
      <alignment wrapText="1"/>
    </xf>
    <xf numFmtId="0" fontId="30" fillId="0" borderId="56" xfId="0" applyFont="1" applyBorder="1" applyAlignment="1">
      <alignment wrapText="1"/>
    </xf>
    <xf numFmtId="10" fontId="0" fillId="43" borderId="0" xfId="0" applyNumberFormat="1" applyFill="1" applyAlignment="1">
      <alignment wrapText="1"/>
    </xf>
    <xf numFmtId="10" fontId="0" fillId="0" borderId="58" xfId="0" applyNumberFormat="1" applyBorder="1" applyAlignment="1">
      <alignment wrapText="1"/>
    </xf>
    <xf numFmtId="166" fontId="0" fillId="0" borderId="61" xfId="0" applyNumberFormat="1" applyBorder="1" applyAlignment="1">
      <alignment wrapText="1"/>
    </xf>
    <xf numFmtId="4" fontId="0" fillId="47" borderId="66" xfId="0" applyNumberFormat="1" applyFill="1" applyBorder="1" applyAlignment="1">
      <alignment wrapText="1"/>
    </xf>
    <xf numFmtId="10" fontId="0" fillId="48" borderId="67" xfId="0" applyNumberFormat="1" applyFill="1" applyBorder="1" applyAlignment="1">
      <alignment wrapText="1"/>
    </xf>
    <xf numFmtId="0" fontId="32" fillId="49" borderId="68" xfId="0" applyFont="1" applyFill="1" applyBorder="1" applyAlignment="1">
      <alignment horizontal="center" wrapText="1"/>
    </xf>
    <xf numFmtId="0" fontId="33" fillId="50" borderId="70" xfId="0" applyFont="1" applyFill="1" applyBorder="1" applyAlignment="1">
      <alignment wrapText="1"/>
    </xf>
    <xf numFmtId="0" fontId="37" fillId="52" borderId="75" xfId="0" applyFont="1" applyFill="1" applyBorder="1" applyAlignment="1">
      <alignment horizontal="right" wrapText="1"/>
    </xf>
    <xf numFmtId="0" fontId="0" fillId="53" borderId="76" xfId="0" applyFill="1" applyBorder="1" applyAlignment="1">
      <alignment wrapText="1"/>
    </xf>
    <xf numFmtId="0" fontId="38" fillId="0" borderId="77" xfId="0" applyFont="1" applyBorder="1" applyAlignment="1">
      <alignment wrapText="1"/>
    </xf>
    <xf numFmtId="0" fontId="0" fillId="55" borderId="0" xfId="0" applyFill="1" applyAlignment="1">
      <alignment wrapText="1"/>
    </xf>
    <xf numFmtId="4" fontId="40" fillId="56" borderId="78" xfId="0" applyNumberFormat="1" applyFont="1" applyFill="1" applyBorder="1" applyAlignment="1">
      <alignment wrapText="1"/>
    </xf>
    <xf numFmtId="0" fontId="0" fillId="0" borderId="79" xfId="0" applyBorder="1" applyAlignment="1">
      <alignment wrapText="1"/>
    </xf>
    <xf numFmtId="4" fontId="0" fillId="57" borderId="80" xfId="0" applyNumberFormat="1" applyFill="1" applyBorder="1" applyAlignment="1">
      <alignment wrapText="1"/>
    </xf>
    <xf numFmtId="10" fontId="0" fillId="0" borderId="81" xfId="0" applyNumberFormat="1" applyBorder="1" applyAlignment="1">
      <alignment wrapText="1"/>
    </xf>
    <xf numFmtId="4" fontId="0" fillId="58" borderId="82" xfId="0" applyNumberFormat="1" applyFill="1" applyBorder="1" applyAlignment="1">
      <alignment wrapText="1"/>
    </xf>
    <xf numFmtId="0" fontId="0" fillId="0" borderId="83" xfId="0" applyBorder="1" applyAlignment="1">
      <alignment wrapText="1"/>
    </xf>
    <xf numFmtId="4" fontId="41" fillId="60" borderId="85" xfId="0" applyNumberFormat="1" applyFont="1" applyFill="1" applyBorder="1" applyAlignment="1">
      <alignment wrapText="1"/>
    </xf>
    <xf numFmtId="0" fontId="0" fillId="61" borderId="86" xfId="0" applyFill="1" applyBorder="1" applyAlignment="1">
      <alignment wrapText="1"/>
    </xf>
    <xf numFmtId="4" fontId="0" fillId="0" borderId="87" xfId="0" applyNumberFormat="1" applyBorder="1" applyAlignment="1">
      <alignment wrapText="1"/>
    </xf>
    <xf numFmtId="0" fontId="42" fillId="0" borderId="89" xfId="0" applyFont="1" applyBorder="1" applyAlignment="1">
      <alignment horizontal="center" wrapText="1"/>
    </xf>
    <xf numFmtId="10" fontId="43" fillId="63" borderId="0" xfId="0" applyNumberFormat="1" applyFont="1" applyFill="1" applyAlignment="1">
      <alignment wrapText="1"/>
    </xf>
    <xf numFmtId="0" fontId="0" fillId="0" borderId="91" xfId="0" applyBorder="1" applyAlignment="1">
      <alignment horizontal="left" wrapText="1"/>
    </xf>
    <xf numFmtId="0" fontId="0" fillId="0" borderId="93" xfId="0" applyBorder="1" applyAlignment="1">
      <alignment horizontal="left" vertical="center" wrapText="1"/>
    </xf>
    <xf numFmtId="4" fontId="0" fillId="0" borderId="95" xfId="0" applyNumberFormat="1" applyBorder="1" applyAlignment="1">
      <alignment wrapText="1"/>
    </xf>
    <xf numFmtId="0" fontId="46" fillId="0" borderId="97" xfId="0" applyFont="1" applyBorder="1" applyAlignment="1">
      <alignment wrapText="1"/>
    </xf>
    <xf numFmtId="0" fontId="0" fillId="68" borderId="100" xfId="0" applyFill="1" applyBorder="1" applyAlignment="1">
      <alignment wrapText="1"/>
    </xf>
    <xf numFmtId="10" fontId="0" fillId="69" borderId="101" xfId="0" applyNumberFormat="1" applyFill="1" applyBorder="1" applyAlignment="1">
      <alignment wrapText="1"/>
    </xf>
    <xf numFmtId="4" fontId="0" fillId="0" borderId="102" xfId="0" applyNumberFormat="1" applyBorder="1" applyAlignment="1">
      <alignment wrapText="1"/>
    </xf>
    <xf numFmtId="4" fontId="0" fillId="70" borderId="104" xfId="0" applyNumberFormat="1" applyFill="1" applyBorder="1" applyAlignment="1">
      <alignment wrapText="1"/>
    </xf>
    <xf numFmtId="0" fontId="0" fillId="71" borderId="0" xfId="0" applyFill="1" applyAlignment="1">
      <alignment wrapText="1"/>
    </xf>
    <xf numFmtId="0" fontId="48" fillId="0" borderId="107" xfId="0" applyFont="1" applyBorder="1" applyAlignment="1">
      <alignment wrapText="1"/>
    </xf>
    <xf numFmtId="0" fontId="0" fillId="0" borderId="108" xfId="0" applyBorder="1" applyAlignment="1">
      <alignment wrapText="1"/>
    </xf>
    <xf numFmtId="0" fontId="49" fillId="0" borderId="109" xfId="0" applyFont="1" applyBorder="1" applyAlignment="1">
      <alignment wrapText="1"/>
    </xf>
    <xf numFmtId="4" fontId="0" fillId="75" borderId="112" xfId="0" applyNumberFormat="1" applyFill="1" applyBorder="1" applyAlignment="1">
      <alignment wrapText="1"/>
    </xf>
    <xf numFmtId="4" fontId="0" fillId="0" borderId="0" xfId="0" applyNumberFormat="1" applyAlignment="1">
      <alignment wrapText="1"/>
    </xf>
    <xf numFmtId="4" fontId="51" fillId="0" borderId="116" xfId="0" applyNumberFormat="1" applyFont="1" applyBorder="1" applyAlignment="1">
      <alignment wrapText="1"/>
    </xf>
    <xf numFmtId="0" fontId="0" fillId="77" borderId="117" xfId="0" applyFill="1" applyBorder="1" applyAlignment="1">
      <alignment wrapText="1"/>
    </xf>
    <xf numFmtId="0" fontId="0" fillId="78" borderId="118" xfId="0" applyFill="1" applyBorder="1" applyAlignment="1">
      <alignment wrapText="1"/>
    </xf>
    <xf numFmtId="4" fontId="0" fillId="0" borderId="121" xfId="0" applyNumberFormat="1" applyBorder="1" applyAlignment="1">
      <alignment wrapText="1"/>
    </xf>
    <xf numFmtId="0" fontId="0" fillId="81" borderId="124" xfId="0" applyFill="1" applyBorder="1" applyAlignment="1">
      <alignment wrapText="1"/>
    </xf>
    <xf numFmtId="0" fontId="0" fillId="0" borderId="125" xfId="0" applyBorder="1" applyAlignment="1">
      <alignment wrapText="1"/>
    </xf>
    <xf numFmtId="0" fontId="52" fillId="0" borderId="0" xfId="0" applyFont="1" applyAlignment="1">
      <alignment wrapText="1"/>
    </xf>
    <xf numFmtId="10" fontId="0" fillId="82" borderId="127" xfId="0" applyNumberFormat="1" applyFill="1" applyBorder="1" applyAlignment="1">
      <alignment wrapText="1"/>
    </xf>
    <xf numFmtId="4" fontId="0" fillId="0" borderId="129" xfId="0" applyNumberFormat="1" applyBorder="1" applyAlignment="1">
      <alignment wrapText="1"/>
    </xf>
    <xf numFmtId="4" fontId="53" fillId="85" borderId="133" xfId="0" applyNumberFormat="1" applyFont="1" applyFill="1" applyBorder="1" applyAlignment="1">
      <alignment wrapText="1"/>
    </xf>
    <xf numFmtId="0" fontId="0" fillId="0" borderId="134" xfId="0" applyBorder="1" applyAlignment="1">
      <alignment wrapText="1"/>
    </xf>
    <xf numFmtId="0" fontId="54" fillId="86" borderId="0" xfId="0" applyFont="1" applyFill="1" applyAlignment="1">
      <alignment wrapText="1"/>
    </xf>
    <xf numFmtId="4" fontId="55" fillId="87" borderId="135" xfId="0" applyNumberFormat="1" applyFont="1" applyFill="1" applyBorder="1" applyAlignment="1">
      <alignment wrapText="1"/>
    </xf>
    <xf numFmtId="0" fontId="0" fillId="89" borderId="137" xfId="0" applyFill="1" applyBorder="1" applyAlignment="1">
      <alignment wrapText="1"/>
    </xf>
    <xf numFmtId="166" fontId="0" fillId="0" borderId="138" xfId="0" applyNumberFormat="1" applyBorder="1" applyAlignment="1">
      <alignment wrapText="1"/>
    </xf>
    <xf numFmtId="0" fontId="0" fillId="0" borderId="139" xfId="0" applyBorder="1" applyAlignment="1">
      <alignment wrapText="1"/>
    </xf>
    <xf numFmtId="166" fontId="0" fillId="90" borderId="140" xfId="0" applyNumberFormat="1" applyFill="1" applyBorder="1" applyAlignment="1">
      <alignment wrapText="1"/>
    </xf>
    <xf numFmtId="0" fontId="0" fillId="0" borderId="143" xfId="0" applyBorder="1" applyAlignment="1">
      <alignment wrapText="1"/>
    </xf>
    <xf numFmtId="0" fontId="0" fillId="0" borderId="144" xfId="0" applyBorder="1" applyAlignment="1">
      <alignment wrapText="1"/>
    </xf>
    <xf numFmtId="0" fontId="0" fillId="93" borderId="0" xfId="0" applyFill="1" applyAlignment="1">
      <alignment horizontal="center" vertical="center" wrapText="1"/>
    </xf>
    <xf numFmtId="4" fontId="59" fillId="0" borderId="146" xfId="0" applyNumberFormat="1" applyFont="1" applyBorder="1" applyAlignment="1">
      <alignment wrapText="1"/>
    </xf>
    <xf numFmtId="0" fontId="60" fillId="94" borderId="147" xfId="0" applyFont="1" applyFill="1" applyBorder="1" applyAlignment="1">
      <alignment wrapText="1"/>
    </xf>
    <xf numFmtId="0" fontId="0" fillId="96" borderId="150" xfId="0" applyFill="1" applyBorder="1" applyAlignment="1">
      <alignment wrapText="1"/>
    </xf>
    <xf numFmtId="0" fontId="0" fillId="99" borderId="156" xfId="0" applyFill="1" applyBorder="1" applyAlignment="1">
      <alignment horizontal="left" wrapText="1"/>
    </xf>
    <xf numFmtId="10" fontId="0" fillId="0" borderId="157" xfId="0" applyNumberFormat="1" applyBorder="1" applyAlignment="1">
      <alignment wrapText="1"/>
    </xf>
    <xf numFmtId="0" fontId="65" fillId="100" borderId="158" xfId="0" applyFont="1" applyFill="1" applyBorder="1" applyAlignment="1">
      <alignment wrapText="1"/>
    </xf>
    <xf numFmtId="10" fontId="0" fillId="102" borderId="159" xfId="0" applyNumberFormat="1" applyFill="1" applyBorder="1" applyAlignment="1">
      <alignment wrapText="1"/>
    </xf>
    <xf numFmtId="0" fontId="0" fillId="103" borderId="0" xfId="0" applyFill="1" applyAlignment="1">
      <alignment wrapText="1"/>
    </xf>
    <xf numFmtId="4" fontId="0" fillId="0" borderId="160" xfId="0" applyNumberFormat="1" applyBorder="1" applyAlignment="1">
      <alignment wrapText="1"/>
    </xf>
    <xf numFmtId="4" fontId="0" fillId="104" borderId="161" xfId="0" applyNumberFormat="1" applyFill="1" applyBorder="1" applyAlignment="1">
      <alignment horizontal="right" wrapText="1"/>
    </xf>
    <xf numFmtId="4" fontId="67" fillId="0" borderId="163" xfId="0" applyNumberFormat="1" applyFont="1" applyBorder="1" applyAlignment="1">
      <alignment wrapText="1"/>
    </xf>
    <xf numFmtId="0" fontId="0" fillId="0" borderId="164" xfId="0" applyBorder="1" applyAlignment="1">
      <alignment wrapText="1"/>
    </xf>
    <xf numFmtId="4" fontId="0" fillId="106" borderId="165" xfId="0" applyNumberFormat="1" applyFill="1" applyBorder="1" applyAlignment="1">
      <alignment wrapText="1"/>
    </xf>
    <xf numFmtId="10" fontId="0" fillId="0" borderId="170" xfId="0" applyNumberFormat="1" applyBorder="1" applyAlignment="1">
      <alignment wrapText="1"/>
    </xf>
    <xf numFmtId="4" fontId="0" fillId="109" borderId="0" xfId="0" applyNumberFormat="1" applyFill="1" applyAlignment="1">
      <alignment wrapText="1"/>
    </xf>
    <xf numFmtId="10" fontId="0" fillId="110" borderId="0" xfId="0" applyNumberFormat="1" applyFill="1" applyAlignment="1">
      <alignment wrapText="1"/>
    </xf>
    <xf numFmtId="166" fontId="0" fillId="112" borderId="173" xfId="0" applyNumberFormat="1" applyFill="1" applyBorder="1" applyAlignment="1">
      <alignment wrapText="1"/>
    </xf>
    <xf numFmtId="10" fontId="70" fillId="114" borderId="178" xfId="0" applyNumberFormat="1" applyFont="1" applyFill="1" applyBorder="1" applyAlignment="1">
      <alignment wrapText="1"/>
    </xf>
    <xf numFmtId="0" fontId="71" fillId="116" borderId="180" xfId="0" applyFont="1" applyFill="1" applyBorder="1" applyAlignment="1">
      <alignment wrapText="1"/>
    </xf>
    <xf numFmtId="4" fontId="0" fillId="117" borderId="181" xfId="0" applyNumberFormat="1" applyFill="1" applyBorder="1" applyAlignment="1">
      <alignment wrapText="1"/>
    </xf>
    <xf numFmtId="4" fontId="0" fillId="118" borderId="182" xfId="0" applyNumberFormat="1" applyFill="1" applyBorder="1" applyAlignment="1">
      <alignment wrapText="1"/>
    </xf>
    <xf numFmtId="4" fontId="0" fillId="122" borderId="188" xfId="0" applyNumberFormat="1" applyFill="1" applyBorder="1" applyAlignment="1">
      <alignment wrapText="1"/>
    </xf>
    <xf numFmtId="4" fontId="74" fillId="109" borderId="0" xfId="0" applyNumberFormat="1" applyFont="1" applyFill="1" applyAlignment="1">
      <alignment wrapText="1"/>
    </xf>
    <xf numFmtId="0" fontId="13" fillId="0" borderId="18" xfId="0" applyFont="1" applyFill="1" applyBorder="1" applyAlignment="1">
      <alignment wrapText="1"/>
    </xf>
    <xf numFmtId="0" fontId="0" fillId="0" borderId="0" xfId="0" applyFill="1" applyAlignment="1">
      <alignment wrapText="1"/>
    </xf>
    <xf numFmtId="0" fontId="15" fillId="0" borderId="23" xfId="0" applyFont="1" applyFill="1" applyBorder="1" applyAlignment="1">
      <alignment wrapText="1"/>
    </xf>
    <xf numFmtId="4" fontId="0" fillId="0" borderId="0" xfId="0" applyNumberFormat="1" applyFill="1" applyAlignment="1">
      <alignment wrapText="1"/>
    </xf>
    <xf numFmtId="4" fontId="0" fillId="0" borderId="185" xfId="0" applyNumberFormat="1" applyFill="1" applyBorder="1" applyAlignment="1">
      <alignment wrapText="1"/>
    </xf>
    <xf numFmtId="4" fontId="0" fillId="0" borderId="95" xfId="0" applyNumberFormat="1" applyFill="1" applyBorder="1" applyAlignment="1">
      <alignment wrapText="1"/>
    </xf>
    <xf numFmtId="10" fontId="0" fillId="0" borderId="0" xfId="0" applyNumberFormat="1" applyFill="1" applyAlignment="1">
      <alignment wrapText="1"/>
    </xf>
    <xf numFmtId="10" fontId="0" fillId="0" borderId="115" xfId="0" applyNumberFormat="1" applyFill="1" applyBorder="1" applyAlignment="1">
      <alignment wrapText="1"/>
    </xf>
    <xf numFmtId="0" fontId="0" fillId="0" borderId="144" xfId="0" applyFill="1" applyBorder="1" applyAlignment="1">
      <alignment wrapText="1"/>
    </xf>
    <xf numFmtId="0" fontId="0" fillId="0" borderId="119" xfId="0" applyFill="1" applyBorder="1" applyAlignment="1">
      <alignment wrapText="1"/>
    </xf>
    <xf numFmtId="0" fontId="0" fillId="0" borderId="125" xfId="0" applyFill="1" applyBorder="1" applyAlignment="1">
      <alignment wrapText="1"/>
    </xf>
    <xf numFmtId="0" fontId="0" fillId="0" borderId="141" xfId="0" applyFill="1" applyBorder="1" applyAlignment="1">
      <alignment wrapText="1"/>
    </xf>
    <xf numFmtId="0" fontId="0" fillId="0" borderId="153" xfId="0" applyFill="1" applyBorder="1" applyAlignment="1">
      <alignment wrapText="1"/>
    </xf>
    <xf numFmtId="0" fontId="0" fillId="0" borderId="10" xfId="0" applyFill="1" applyBorder="1" applyAlignment="1">
      <alignment wrapText="1"/>
    </xf>
    <xf numFmtId="0" fontId="2" fillId="0" borderId="2" xfId="0" applyFont="1" applyFill="1" applyBorder="1" applyAlignment="1">
      <alignment wrapText="1"/>
    </xf>
    <xf numFmtId="0" fontId="28" fillId="39" borderId="166" xfId="0" applyFont="1" applyFill="1" applyBorder="1" applyAlignment="1">
      <alignment wrapText="1"/>
    </xf>
    <xf numFmtId="0" fontId="0" fillId="81" borderId="171" xfId="0" applyFill="1" applyBorder="1" applyAlignment="1">
      <alignment wrapText="1"/>
    </xf>
    <xf numFmtId="0" fontId="0" fillId="28" borderId="170" xfId="0" applyFill="1" applyBorder="1" applyAlignment="1">
      <alignment wrapText="1"/>
    </xf>
    <xf numFmtId="0" fontId="0" fillId="0" borderId="177" xfId="0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0" fillId="0" borderId="0" xfId="0" applyBorder="1" applyAlignment="1">
      <alignment wrapText="1"/>
    </xf>
    <xf numFmtId="0" fontId="75" fillId="0" borderId="144" xfId="0" applyFont="1" applyBorder="1" applyAlignment="1">
      <alignment wrapText="1"/>
    </xf>
    <xf numFmtId="0" fontId="75" fillId="0" borderId="0" xfId="0" applyFont="1" applyAlignment="1">
      <alignment wrapText="1"/>
    </xf>
    <xf numFmtId="0" fontId="0" fillId="0" borderId="90" xfId="0" applyFill="1" applyBorder="1" applyAlignment="1">
      <alignment horizontal="center" wrapText="1"/>
    </xf>
    <xf numFmtId="4" fontId="66" fillId="0" borderId="0" xfId="0" applyNumberFormat="1" applyFont="1" applyFill="1" applyAlignment="1">
      <alignment wrapText="1"/>
    </xf>
    <xf numFmtId="0" fontId="0" fillId="0" borderId="28" xfId="0" applyFill="1" applyBorder="1" applyAlignment="1">
      <alignment wrapText="1"/>
    </xf>
    <xf numFmtId="0" fontId="0" fillId="0" borderId="46" xfId="0" applyFill="1" applyBorder="1" applyAlignment="1">
      <alignment wrapText="1"/>
    </xf>
    <xf numFmtId="4" fontId="47" fillId="0" borderId="103" xfId="0" applyNumberFormat="1" applyFont="1" applyFill="1" applyBorder="1" applyAlignment="1">
      <alignment wrapText="1"/>
    </xf>
    <xf numFmtId="4" fontId="17" fillId="0" borderId="29" xfId="0" applyNumberFormat="1" applyFont="1" applyFill="1" applyBorder="1" applyAlignment="1">
      <alignment wrapText="1"/>
    </xf>
    <xf numFmtId="4" fontId="0" fillId="0" borderId="87" xfId="0" applyNumberFormat="1" applyFill="1" applyBorder="1" applyAlignment="1">
      <alignment wrapText="1"/>
    </xf>
    <xf numFmtId="4" fontId="0" fillId="0" borderId="129" xfId="0" applyNumberFormat="1" applyFill="1" applyBorder="1" applyAlignment="1">
      <alignment wrapText="1"/>
    </xf>
    <xf numFmtId="0" fontId="75" fillId="0" borderId="180" xfId="0" applyFont="1" applyBorder="1" applyAlignment="1">
      <alignment wrapText="1"/>
    </xf>
    <xf numFmtId="0" fontId="75" fillId="42" borderId="182" xfId="0" applyFont="1" applyFill="1" applyBorder="1" applyAlignment="1">
      <alignment horizontal="center" wrapText="1"/>
    </xf>
    <xf numFmtId="0" fontId="75" fillId="0" borderId="182" xfId="0" applyFont="1" applyFill="1" applyBorder="1" applyAlignment="1">
      <alignment horizontal="center" wrapText="1"/>
    </xf>
    <xf numFmtId="0" fontId="75" fillId="0" borderId="187" xfId="0" applyFont="1" applyFill="1" applyBorder="1" applyAlignment="1">
      <alignment horizontal="center" wrapText="1"/>
    </xf>
    <xf numFmtId="0" fontId="75" fillId="0" borderId="182" xfId="0" applyFont="1" applyBorder="1" applyAlignment="1">
      <alignment horizontal="center" wrapText="1"/>
    </xf>
    <xf numFmtId="0" fontId="75" fillId="0" borderId="187" xfId="0" applyFont="1" applyBorder="1" applyAlignment="1">
      <alignment horizontal="center" wrapText="1"/>
    </xf>
    <xf numFmtId="4" fontId="67" fillId="0" borderId="163" xfId="0" applyNumberFormat="1" applyFont="1" applyFill="1" applyBorder="1" applyAlignment="1">
      <alignment wrapText="1"/>
    </xf>
    <xf numFmtId="4" fontId="51" fillId="0" borderId="116" xfId="0" applyNumberFormat="1" applyFont="1" applyFill="1" applyBorder="1" applyAlignment="1">
      <alignment wrapText="1"/>
    </xf>
    <xf numFmtId="0" fontId="0" fillId="0" borderId="167" xfId="0" applyFill="1" applyBorder="1" applyAlignment="1">
      <alignment wrapText="1"/>
    </xf>
    <xf numFmtId="0" fontId="0" fillId="0" borderId="114" xfId="0" applyFill="1" applyBorder="1" applyAlignment="1">
      <alignment wrapText="1"/>
    </xf>
    <xf numFmtId="0" fontId="0" fillId="0" borderId="1" xfId="0" applyFill="1" applyBorder="1" applyAlignment="1">
      <alignment wrapText="1"/>
    </xf>
    <xf numFmtId="0" fontId="61" fillId="0" borderId="148" xfId="0" applyFont="1" applyFill="1" applyBorder="1" applyAlignment="1">
      <alignment wrapText="1"/>
    </xf>
    <xf numFmtId="0" fontId="10" fillId="0" borderId="0" xfId="0" applyFont="1" applyFill="1" applyAlignment="1">
      <alignment wrapText="1"/>
    </xf>
    <xf numFmtId="0" fontId="35" fillId="0" borderId="73" xfId="0" applyFont="1" applyFill="1" applyBorder="1" applyAlignment="1">
      <alignment wrapText="1"/>
    </xf>
    <xf numFmtId="0" fontId="0" fillId="0" borderId="20" xfId="0" applyFill="1" applyBorder="1" applyAlignment="1">
      <alignment horizontal="center" vertical="center" wrapText="1"/>
    </xf>
    <xf numFmtId="0" fontId="75" fillId="12" borderId="182" xfId="0" applyFont="1" applyFill="1" applyBorder="1" applyAlignment="1">
      <alignment wrapText="1"/>
    </xf>
    <xf numFmtId="0" fontId="75" fillId="95" borderId="182" xfId="0" applyFont="1" applyFill="1" applyBorder="1" applyAlignment="1">
      <alignment horizontal="center" wrapText="1"/>
    </xf>
    <xf numFmtId="4" fontId="0" fillId="0" borderId="121" xfId="0" applyNumberFormat="1" applyFill="1" applyBorder="1" applyAlignment="1">
      <alignment wrapText="1"/>
    </xf>
    <xf numFmtId="4" fontId="0" fillId="0" borderId="45" xfId="0" applyNumberFormat="1" applyFill="1" applyBorder="1" applyAlignment="1">
      <alignment wrapText="1"/>
    </xf>
    <xf numFmtId="4" fontId="0" fillId="0" borderId="48" xfId="0" applyNumberFormat="1" applyFill="1" applyBorder="1" applyAlignment="1">
      <alignment wrapText="1"/>
    </xf>
    <xf numFmtId="4" fontId="0" fillId="0" borderId="65" xfId="0" applyNumberFormat="1" applyFill="1" applyBorder="1" applyAlignment="1">
      <alignment wrapText="1"/>
    </xf>
    <xf numFmtId="0" fontId="0" fillId="0" borderId="187" xfId="0" applyBorder="1" applyAlignment="1">
      <alignment wrapText="1"/>
    </xf>
    <xf numFmtId="0" fontId="0" fillId="0" borderId="79" xfId="0" applyFill="1" applyBorder="1" applyAlignment="1">
      <alignment wrapText="1"/>
    </xf>
    <xf numFmtId="0" fontId="0" fillId="0" borderId="134" xfId="0" applyFill="1" applyBorder="1" applyAlignment="1">
      <alignment wrapText="1"/>
    </xf>
    <xf numFmtId="0" fontId="0" fillId="0" borderId="76" xfId="0" applyFill="1" applyBorder="1" applyAlignment="1">
      <alignment wrapText="1"/>
    </xf>
    <xf numFmtId="166" fontId="0" fillId="0" borderId="61" xfId="0" applyNumberFormat="1" applyFill="1" applyBorder="1" applyAlignment="1">
      <alignment wrapText="1"/>
    </xf>
    <xf numFmtId="0" fontId="0" fillId="0" borderId="164" xfId="0" applyFill="1" applyBorder="1" applyAlignment="1">
      <alignment wrapText="1"/>
    </xf>
    <xf numFmtId="10" fontId="0" fillId="0" borderId="170" xfId="0" applyNumberFormat="1" applyFill="1" applyBorder="1" applyAlignment="1">
      <alignment wrapText="1"/>
    </xf>
    <xf numFmtId="4" fontId="0" fillId="0" borderId="0" xfId="0" applyNumberFormat="1" applyFill="1" applyBorder="1" applyAlignment="1">
      <alignment wrapText="1"/>
    </xf>
    <xf numFmtId="10" fontId="0" fillId="0" borderId="0" xfId="0" applyNumberFormat="1" applyFill="1" applyBorder="1" applyAlignment="1">
      <alignment wrapText="1"/>
    </xf>
    <xf numFmtId="4" fontId="0" fillId="0" borderId="188" xfId="0" applyNumberFormat="1" applyFill="1" applyBorder="1" applyAlignment="1">
      <alignment wrapText="1"/>
    </xf>
    <xf numFmtId="4" fontId="0" fillId="0" borderId="179" xfId="0" applyNumberFormat="1" applyFill="1" applyBorder="1" applyAlignment="1">
      <alignment wrapText="1"/>
    </xf>
    <xf numFmtId="10" fontId="0" fillId="0" borderId="185" xfId="0" applyNumberFormat="1" applyFill="1" applyBorder="1" applyAlignment="1">
      <alignment wrapText="1"/>
    </xf>
    <xf numFmtId="0" fontId="0" fillId="0" borderId="171" xfId="0" applyFill="1" applyBorder="1" applyAlignment="1">
      <alignment wrapText="1"/>
    </xf>
    <xf numFmtId="0" fontId="75" fillId="0" borderId="120" xfId="0" applyFont="1" applyBorder="1" applyAlignment="1">
      <alignment wrapText="1"/>
    </xf>
    <xf numFmtId="4" fontId="0" fillId="109" borderId="0" xfId="0" applyNumberFormat="1" applyFill="1" applyBorder="1" applyAlignment="1">
      <alignment wrapText="1"/>
    </xf>
    <xf numFmtId="10" fontId="0" fillId="110" borderId="0" xfId="0" applyNumberFormat="1" applyFill="1" applyBorder="1" applyAlignment="1">
      <alignment wrapText="1"/>
    </xf>
    <xf numFmtId="0" fontId="0" fillId="103" borderId="0" xfId="0" applyFill="1" applyBorder="1" applyAlignment="1">
      <alignment wrapText="1"/>
    </xf>
    <xf numFmtId="0" fontId="0" fillId="101" borderId="171" xfId="0" applyFill="1" applyBorder="1" applyAlignment="1">
      <alignment wrapText="1"/>
    </xf>
    <xf numFmtId="10" fontId="76" fillId="23" borderId="25" xfId="0" applyNumberFormat="1" applyFont="1" applyFill="1" applyBorder="1" applyAlignment="1">
      <alignment vertical="center" wrapText="1"/>
    </xf>
    <xf numFmtId="0" fontId="76" fillId="26" borderId="0" xfId="0" applyFont="1" applyFill="1" applyAlignment="1">
      <alignment horizontal="center" vertical="center" wrapText="1"/>
    </xf>
    <xf numFmtId="0" fontId="0" fillId="0" borderId="36" xfId="0" applyFill="1" applyBorder="1" applyAlignment="1">
      <alignment wrapText="1"/>
    </xf>
    <xf numFmtId="4" fontId="0" fillId="0" borderId="132" xfId="0" applyNumberFormat="1" applyFill="1" applyBorder="1" applyAlignment="1">
      <alignment wrapText="1"/>
    </xf>
    <xf numFmtId="4" fontId="0" fillId="0" borderId="49" xfId="0" applyNumberFormat="1" applyFill="1" applyBorder="1" applyAlignment="1">
      <alignment wrapText="1"/>
    </xf>
    <xf numFmtId="4" fontId="0" fillId="0" borderId="60" xfId="0" applyNumberFormat="1" applyFill="1" applyBorder="1" applyAlignment="1">
      <alignment wrapText="1"/>
    </xf>
    <xf numFmtId="4" fontId="0" fillId="0" borderId="131" xfId="0" applyNumberFormat="1" applyFill="1" applyBorder="1" applyAlignment="1">
      <alignment wrapText="1"/>
    </xf>
    <xf numFmtId="4" fontId="0" fillId="0" borderId="105" xfId="0" applyNumberFormat="1" applyFill="1" applyBorder="1" applyAlignment="1">
      <alignment wrapText="1"/>
    </xf>
    <xf numFmtId="4" fontId="0" fillId="0" borderId="40" xfId="0" applyNumberFormat="1" applyFill="1" applyBorder="1" applyAlignment="1">
      <alignment wrapText="1"/>
    </xf>
    <xf numFmtId="0" fontId="52" fillId="0" borderId="0" xfId="0" applyFont="1" applyFill="1" applyAlignment="1">
      <alignment wrapText="1"/>
    </xf>
    <xf numFmtId="0" fontId="0" fillId="0" borderId="139" xfId="0" applyFill="1" applyBorder="1" applyAlignment="1">
      <alignment wrapText="1"/>
    </xf>
    <xf numFmtId="4" fontId="0" fillId="0" borderId="98" xfId="0" applyNumberFormat="1" applyFill="1" applyBorder="1" applyAlignment="1">
      <alignment wrapText="1"/>
    </xf>
    <xf numFmtId="4" fontId="0" fillId="0" borderId="21" xfId="0" applyNumberFormat="1" applyFill="1" applyBorder="1" applyAlignment="1">
      <alignment wrapText="1"/>
    </xf>
    <xf numFmtId="4" fontId="0" fillId="0" borderId="51" xfId="0" applyNumberFormat="1" applyFill="1" applyBorder="1" applyAlignment="1">
      <alignment wrapText="1"/>
    </xf>
    <xf numFmtId="4" fontId="0" fillId="0" borderId="166" xfId="0" applyNumberFormat="1" applyFill="1" applyBorder="1" applyAlignment="1">
      <alignment wrapText="1"/>
    </xf>
    <xf numFmtId="4" fontId="3" fillId="0" borderId="0" xfId="0" applyNumberFormat="1" applyFont="1" applyFill="1" applyAlignment="1">
      <alignment wrapText="1"/>
    </xf>
    <xf numFmtId="4" fontId="0" fillId="0" borderId="71" xfId="0" applyNumberFormat="1" applyFill="1" applyBorder="1" applyAlignment="1">
      <alignment wrapText="1"/>
    </xf>
    <xf numFmtId="4" fontId="0" fillId="0" borderId="27" xfId="0" applyNumberFormat="1" applyFill="1" applyBorder="1" applyAlignment="1">
      <alignment wrapText="1"/>
    </xf>
    <xf numFmtId="0" fontId="63" fillId="0" borderId="155" xfId="0" applyFont="1" applyFill="1" applyBorder="1" applyAlignment="1">
      <alignment wrapText="1"/>
    </xf>
    <xf numFmtId="0" fontId="68" fillId="0" borderId="171" xfId="0" applyFont="1" applyFill="1" applyBorder="1" applyAlignment="1">
      <alignment wrapText="1"/>
    </xf>
    <xf numFmtId="0" fontId="0" fillId="0" borderId="143" xfId="0" applyFill="1" applyBorder="1" applyAlignment="1">
      <alignment wrapText="1"/>
    </xf>
    <xf numFmtId="0" fontId="0" fillId="0" borderId="108" xfId="0" applyFill="1" applyBorder="1" applyAlignment="1">
      <alignment wrapText="1"/>
    </xf>
    <xf numFmtId="0" fontId="72" fillId="0" borderId="183" xfId="0" applyFont="1" applyFill="1" applyBorder="1" applyAlignment="1">
      <alignment wrapText="1"/>
    </xf>
    <xf numFmtId="0" fontId="64" fillId="0" borderId="0" xfId="0" applyFont="1" applyFill="1" applyAlignment="1">
      <alignment wrapText="1"/>
    </xf>
    <xf numFmtId="0" fontId="0" fillId="0" borderId="59" xfId="0" applyFill="1" applyBorder="1" applyAlignment="1">
      <alignment wrapText="1"/>
    </xf>
    <xf numFmtId="0" fontId="38" fillId="0" borderId="77" xfId="0" applyFont="1" applyFill="1" applyBorder="1" applyAlignment="1">
      <alignment wrapText="1"/>
    </xf>
    <xf numFmtId="0" fontId="30" fillId="0" borderId="56" xfId="0" applyFont="1" applyFill="1" applyBorder="1" applyAlignment="1">
      <alignment wrapText="1"/>
    </xf>
    <xf numFmtId="0" fontId="46" fillId="0" borderId="97" xfId="0" applyFont="1" applyFill="1" applyBorder="1" applyAlignment="1">
      <alignment wrapText="1"/>
    </xf>
    <xf numFmtId="0" fontId="31" fillId="0" borderId="63" xfId="0" applyFont="1" applyFill="1" applyBorder="1" applyAlignment="1">
      <alignment wrapText="1"/>
    </xf>
    <xf numFmtId="0" fontId="7" fillId="0" borderId="9" xfId="0" applyFont="1" applyFill="1" applyBorder="1" applyAlignment="1">
      <alignment wrapText="1"/>
    </xf>
    <xf numFmtId="0" fontId="34" fillId="0" borderId="72" xfId="0" applyFont="1" applyFill="1" applyBorder="1" applyAlignment="1">
      <alignment wrapText="1"/>
    </xf>
    <xf numFmtId="0" fontId="0" fillId="0" borderId="0" xfId="0" applyFill="1" applyAlignment="1">
      <alignment horizontal="left" wrapText="1"/>
    </xf>
    <xf numFmtId="0" fontId="0" fillId="0" borderId="177" xfId="0" applyBorder="1" applyAlignment="1">
      <alignment wrapText="1"/>
    </xf>
    <xf numFmtId="0" fontId="0" fillId="0" borderId="0" xfId="0" applyAlignment="1">
      <alignment vertical="center" wrapText="1"/>
    </xf>
    <xf numFmtId="10" fontId="0" fillId="0" borderId="195" xfId="2" applyNumberFormat="1" applyFont="1" applyBorder="1" applyAlignment="1">
      <alignment vertical="center" wrapText="1"/>
    </xf>
    <xf numFmtId="10" fontId="3" fillId="0" borderId="185" xfId="2" applyNumberFormat="1" applyFont="1" applyBorder="1" applyAlignment="1">
      <alignment horizontal="center" vertical="center" wrapText="1"/>
    </xf>
    <xf numFmtId="10" fontId="3" fillId="0" borderId="171" xfId="2" applyNumberFormat="1" applyFont="1" applyBorder="1" applyAlignment="1">
      <alignment horizontal="center" vertical="center" wrapText="1"/>
    </xf>
    <xf numFmtId="0" fontId="3" fillId="0" borderId="200" xfId="0" applyFont="1" applyBorder="1" applyAlignment="1">
      <alignment vertical="center" wrapText="1"/>
    </xf>
    <xf numFmtId="10" fontId="0" fillId="0" borderId="201" xfId="0" applyNumberFormat="1" applyBorder="1" applyAlignment="1">
      <alignment vertical="center" wrapText="1"/>
    </xf>
    <xf numFmtId="0" fontId="3" fillId="0" borderId="192" xfId="0" applyFont="1" applyBorder="1" applyAlignment="1">
      <alignment vertical="center" wrapText="1"/>
    </xf>
    <xf numFmtId="10" fontId="0" fillId="0" borderId="193" xfId="0" applyNumberFormat="1" applyBorder="1" applyAlignment="1">
      <alignment vertical="center" wrapText="1"/>
    </xf>
    <xf numFmtId="0" fontId="3" fillId="0" borderId="197" xfId="0" applyFont="1" applyBorder="1" applyAlignment="1">
      <alignment vertical="center" wrapText="1"/>
    </xf>
    <xf numFmtId="4" fontId="0" fillId="0" borderId="195" xfId="0" applyNumberFormat="1" applyBorder="1" applyAlignment="1">
      <alignment vertical="center" wrapText="1"/>
    </xf>
    <xf numFmtId="4" fontId="0" fillId="0" borderId="0" xfId="0" applyNumberFormat="1" applyAlignment="1">
      <alignment vertical="center" wrapText="1"/>
    </xf>
    <xf numFmtId="4" fontId="0" fillId="0" borderId="95" xfId="0" applyNumberFormat="1" applyBorder="1" applyAlignment="1">
      <alignment vertical="center" wrapText="1"/>
    </xf>
    <xf numFmtId="10" fontId="0" fillId="0" borderId="0" xfId="0" applyNumberFormat="1" applyAlignment="1">
      <alignment vertical="center" wrapText="1"/>
    </xf>
    <xf numFmtId="10" fontId="0" fillId="0" borderId="81" xfId="0" applyNumberFormat="1" applyBorder="1" applyAlignment="1">
      <alignment vertical="center" wrapText="1"/>
    </xf>
    <xf numFmtId="4" fontId="0" fillId="0" borderId="87" xfId="0" applyNumberFormat="1" applyBorder="1" applyAlignment="1">
      <alignment vertical="center" wrapText="1"/>
    </xf>
    <xf numFmtId="4" fontId="0" fillId="0" borderId="129" xfId="0" applyNumberFormat="1" applyBorder="1" applyAlignment="1">
      <alignment vertical="center" wrapText="1"/>
    </xf>
    <xf numFmtId="0" fontId="3" fillId="0" borderId="79" xfId="0" applyFont="1" applyBorder="1" applyAlignment="1">
      <alignment vertical="center" wrapText="1"/>
    </xf>
    <xf numFmtId="0" fontId="3" fillId="0" borderId="62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0" fillId="0" borderId="144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0" fillId="0" borderId="134" xfId="0" applyBorder="1" applyAlignment="1">
      <alignment vertical="center" wrapText="1"/>
    </xf>
    <xf numFmtId="0" fontId="0" fillId="0" borderId="139" xfId="0" applyBorder="1" applyAlignment="1">
      <alignment vertical="center" wrapText="1"/>
    </xf>
    <xf numFmtId="0" fontId="0" fillId="76" borderId="113" xfId="0" applyFill="1" applyBorder="1" applyAlignment="1">
      <alignment vertical="center" wrapText="1"/>
    </xf>
    <xf numFmtId="0" fontId="0" fillId="0" borderId="125" xfId="0" applyBorder="1" applyAlignment="1">
      <alignment vertical="center" wrapText="1"/>
    </xf>
    <xf numFmtId="0" fontId="39" fillId="54" borderId="0" xfId="0" applyFont="1" applyFill="1" applyAlignment="1">
      <alignment vertical="center" wrapText="1"/>
    </xf>
    <xf numFmtId="0" fontId="76" fillId="2" borderId="0" xfId="0" applyFont="1" applyFill="1" applyAlignment="1">
      <alignment horizontal="center" vertical="center" wrapText="1"/>
    </xf>
    <xf numFmtId="0" fontId="88" fillId="39" borderId="0" xfId="0" applyFont="1" applyFill="1" applyBorder="1" applyAlignment="1">
      <alignment wrapText="1"/>
    </xf>
    <xf numFmtId="0" fontId="88" fillId="125" borderId="0" xfId="0" applyFont="1" applyFill="1" applyBorder="1" applyAlignment="1">
      <alignment horizontal="center" wrapText="1"/>
    </xf>
    <xf numFmtId="0" fontId="88" fillId="125" borderId="185" xfId="0" applyFont="1" applyFill="1" applyBorder="1" applyAlignment="1">
      <alignment horizontal="center" wrapText="1"/>
    </xf>
    <xf numFmtId="0" fontId="88" fillId="35" borderId="47" xfId="0" applyFont="1" applyFill="1" applyBorder="1" applyAlignment="1">
      <alignment wrapText="1"/>
    </xf>
    <xf numFmtId="0" fontId="88" fillId="51" borderId="188" xfId="0" applyFont="1" applyFill="1" applyBorder="1" applyAlignment="1">
      <alignment horizontal="center" wrapText="1"/>
    </xf>
    <xf numFmtId="0" fontId="88" fillId="45" borderId="179" xfId="0" applyFont="1" applyFill="1" applyBorder="1" applyAlignment="1">
      <alignment horizontal="center" wrapText="1"/>
    </xf>
    <xf numFmtId="10" fontId="0" fillId="0" borderId="171" xfId="0" applyNumberFormat="1" applyBorder="1" applyAlignment="1">
      <alignment wrapText="1"/>
    </xf>
    <xf numFmtId="0" fontId="0" fillId="28" borderId="179" xfId="0" applyFill="1" applyBorder="1" applyAlignment="1">
      <alignment wrapText="1"/>
    </xf>
    <xf numFmtId="10" fontId="0" fillId="0" borderId="179" xfId="0" applyNumberFormat="1" applyBorder="1" applyAlignment="1">
      <alignment wrapText="1"/>
    </xf>
    <xf numFmtId="0" fontId="26" fillId="37" borderId="166" xfId="0" applyFont="1" applyFill="1" applyBorder="1" applyAlignment="1">
      <alignment wrapText="1"/>
    </xf>
    <xf numFmtId="0" fontId="73" fillId="0" borderId="171" xfId="0" applyFont="1" applyFill="1" applyBorder="1" applyAlignment="1">
      <alignment wrapText="1"/>
    </xf>
    <xf numFmtId="4" fontId="0" fillId="0" borderId="6" xfId="0" applyNumberFormat="1" applyBorder="1" applyAlignment="1">
      <alignment wrapText="1"/>
    </xf>
    <xf numFmtId="4" fontId="0" fillId="0" borderId="151" xfId="0" applyNumberFormat="1" applyBorder="1" applyAlignment="1">
      <alignment wrapText="1"/>
    </xf>
    <xf numFmtId="4" fontId="0" fillId="0" borderId="149" xfId="0" applyNumberFormat="1" applyBorder="1" applyAlignment="1">
      <alignment wrapText="1"/>
    </xf>
    <xf numFmtId="4" fontId="0" fillId="0" borderId="154" xfId="0" applyNumberFormat="1" applyBorder="1" applyAlignment="1">
      <alignment wrapText="1"/>
    </xf>
    <xf numFmtId="4" fontId="0" fillId="0" borderId="123" xfId="0" applyNumberFormat="1" applyBorder="1" applyAlignment="1">
      <alignment wrapText="1"/>
    </xf>
    <xf numFmtId="4" fontId="0" fillId="62" borderId="88" xfId="0" applyNumberFormat="1" applyFill="1" applyBorder="1" applyAlignment="1">
      <alignment wrapText="1"/>
    </xf>
    <xf numFmtId="4" fontId="0" fillId="111" borderId="172" xfId="0" applyNumberFormat="1" applyFill="1" applyBorder="1" applyAlignment="1">
      <alignment wrapText="1"/>
    </xf>
    <xf numFmtId="4" fontId="0" fillId="0" borderId="6" xfId="0" applyNumberFormat="1" applyFill="1" applyBorder="1" applyAlignment="1">
      <alignment wrapText="1"/>
    </xf>
    <xf numFmtId="4" fontId="0" fillId="0" borderId="154" xfId="0" applyNumberFormat="1" applyFill="1" applyBorder="1" applyAlignment="1">
      <alignment wrapText="1"/>
    </xf>
    <xf numFmtId="4" fontId="0" fillId="112" borderId="173" xfId="0" applyNumberFormat="1" applyFill="1" applyBorder="1" applyAlignment="1">
      <alignment wrapText="1"/>
    </xf>
    <xf numFmtId="4" fontId="0" fillId="90" borderId="140" xfId="0" applyNumberFormat="1" applyFill="1" applyBorder="1" applyAlignment="1">
      <alignment wrapText="1"/>
    </xf>
    <xf numFmtId="4" fontId="0" fillId="0" borderId="0" xfId="0" applyNumberFormat="1" applyBorder="1" applyAlignment="1">
      <alignment wrapText="1"/>
    </xf>
    <xf numFmtId="4" fontId="0" fillId="0" borderId="171" xfId="0" applyNumberFormat="1" applyBorder="1" applyAlignment="1">
      <alignment wrapText="1"/>
    </xf>
    <xf numFmtId="4" fontId="0" fillId="0" borderId="170" xfId="0" applyNumberFormat="1" applyBorder="1" applyAlignment="1">
      <alignment wrapText="1"/>
    </xf>
    <xf numFmtId="4" fontId="0" fillId="62" borderId="171" xfId="0" applyNumberFormat="1" applyFill="1" applyBorder="1" applyAlignment="1">
      <alignment wrapText="1"/>
    </xf>
    <xf numFmtId="0" fontId="73" fillId="77" borderId="117" xfId="0" applyFont="1" applyFill="1" applyBorder="1" applyAlignment="1">
      <alignment wrapText="1"/>
    </xf>
    <xf numFmtId="0" fontId="3" fillId="39" borderId="53" xfId="0" applyFont="1" applyFill="1" applyBorder="1" applyAlignment="1">
      <alignment wrapText="1"/>
    </xf>
    <xf numFmtId="0" fontId="87" fillId="0" borderId="0" xfId="3" applyAlignment="1" applyProtection="1">
      <alignment vertical="center" wrapText="1"/>
    </xf>
    <xf numFmtId="0" fontId="87" fillId="0" borderId="0" xfId="3" applyAlignment="1" applyProtection="1">
      <alignment horizontal="left" vertical="center" wrapText="1"/>
    </xf>
    <xf numFmtId="10" fontId="0" fillId="0" borderId="46" xfId="2" applyNumberFormat="1" applyFont="1" applyBorder="1" applyAlignment="1">
      <alignment wrapText="1"/>
    </xf>
    <xf numFmtId="2" fontId="0" fillId="0" borderId="108" xfId="0" applyNumberFormat="1" applyBorder="1" applyAlignment="1">
      <alignment wrapText="1"/>
    </xf>
    <xf numFmtId="10" fontId="69" fillId="113" borderId="176" xfId="2" applyNumberFormat="1" applyFont="1" applyFill="1" applyBorder="1" applyAlignment="1">
      <alignment wrapText="1"/>
    </xf>
    <xf numFmtId="0" fontId="73" fillId="68" borderId="100" xfId="0" applyFont="1" applyFill="1" applyBorder="1" applyAlignment="1">
      <alignment wrapText="1"/>
    </xf>
    <xf numFmtId="0" fontId="73" fillId="77" borderId="177" xfId="0" applyFont="1" applyFill="1" applyBorder="1" applyAlignment="1">
      <alignment wrapText="1"/>
    </xf>
    <xf numFmtId="10" fontId="0" fillId="0" borderId="0" xfId="0" applyNumberFormat="1" applyBorder="1" applyAlignment="1">
      <alignment wrapText="1"/>
    </xf>
    <xf numFmtId="10" fontId="0" fillId="0" borderId="185" xfId="0" applyNumberFormat="1" applyBorder="1" applyAlignment="1">
      <alignment wrapText="1"/>
    </xf>
    <xf numFmtId="0" fontId="73" fillId="77" borderId="171" xfId="0" applyFont="1" applyFill="1" applyBorder="1" applyAlignment="1">
      <alignment wrapText="1"/>
    </xf>
    <xf numFmtId="0" fontId="3" fillId="38" borderId="52" xfId="0" applyFont="1" applyFill="1" applyBorder="1" applyAlignment="1">
      <alignment wrapText="1"/>
    </xf>
    <xf numFmtId="0" fontId="3" fillId="0" borderId="200" xfId="0" applyFont="1" applyBorder="1" applyAlignment="1">
      <alignment horizontal="left" vertical="center" wrapText="1"/>
    </xf>
    <xf numFmtId="4" fontId="0" fillId="0" borderId="201" xfId="0" applyNumberFormat="1" applyBorder="1" applyAlignment="1">
      <alignment vertical="center" wrapText="1"/>
    </xf>
    <xf numFmtId="0" fontId="3" fillId="0" borderId="192" xfId="0" applyFont="1" applyFill="1" applyBorder="1" applyAlignment="1">
      <alignment vertical="center" wrapText="1"/>
    </xf>
    <xf numFmtId="2" fontId="0" fillId="0" borderId="193" xfId="0" applyNumberFormat="1" applyFill="1" applyBorder="1" applyAlignment="1">
      <alignment vertical="center" wrapText="1"/>
    </xf>
    <xf numFmtId="2" fontId="0" fillId="0" borderId="193" xfId="0" applyNumberFormat="1" applyBorder="1" applyAlignment="1">
      <alignment vertical="center" wrapText="1"/>
    </xf>
    <xf numFmtId="0" fontId="0" fillId="0" borderId="0" xfId="0" applyFill="1" applyAlignment="1">
      <alignment vertical="center" wrapText="1"/>
    </xf>
    <xf numFmtId="10" fontId="0" fillId="0" borderId="195" xfId="2" applyNumberFormat="1" applyFont="1" applyFill="1" applyBorder="1" applyAlignment="1">
      <alignment vertical="center" wrapText="1"/>
    </xf>
    <xf numFmtId="0" fontId="3" fillId="124" borderId="0" xfId="0" applyFont="1" applyFill="1" applyAlignment="1">
      <alignment horizontal="center" vertical="center" wrapText="1"/>
    </xf>
    <xf numFmtId="0" fontId="3" fillId="124" borderId="0" xfId="0" applyFont="1" applyFill="1" applyAlignment="1">
      <alignment horizontal="left" vertical="center" wrapText="1"/>
    </xf>
    <xf numFmtId="0" fontId="0" fillId="0" borderId="0" xfId="0"/>
    <xf numFmtId="0" fontId="93" fillId="125" borderId="0" xfId="0" applyFont="1" applyFill="1"/>
    <xf numFmtId="0" fontId="95" fillId="126" borderId="0" xfId="0" applyFont="1" applyFill="1"/>
    <xf numFmtId="0" fontId="96" fillId="0" borderId="0" xfId="0" applyFont="1"/>
    <xf numFmtId="2" fontId="96" fillId="0" borderId="0" xfId="0" applyNumberFormat="1" applyFont="1" applyAlignment="1">
      <alignment horizontal="right"/>
    </xf>
    <xf numFmtId="0" fontId="96" fillId="0" borderId="0" xfId="0" applyFont="1" applyAlignment="1">
      <alignment vertical="center"/>
    </xf>
    <xf numFmtId="2" fontId="96" fillId="0" borderId="0" xfId="0" applyNumberFormat="1" applyFont="1"/>
    <xf numFmtId="2" fontId="96" fillId="0" borderId="0" xfId="0" applyNumberFormat="1" applyFont="1" applyAlignment="1">
      <alignment horizontal="right" vertical="center" shrinkToFit="1"/>
    </xf>
    <xf numFmtId="2" fontId="96" fillId="0" borderId="0" xfId="0" applyNumberFormat="1" applyFont="1" applyAlignment="1">
      <alignment horizontal="right" vertical="center"/>
    </xf>
    <xf numFmtId="2" fontId="96" fillId="0" borderId="0" xfId="0" applyNumberFormat="1" applyFont="1" applyFill="1" applyAlignment="1">
      <alignment horizontal="right" vertical="center"/>
    </xf>
    <xf numFmtId="2" fontId="0" fillId="0" borderId="0" xfId="0" applyNumberFormat="1" applyAlignment="1">
      <alignment horizontal="right"/>
    </xf>
    <xf numFmtId="2" fontId="97" fillId="0" borderId="0" xfId="0" applyNumberFormat="1" applyFont="1"/>
    <xf numFmtId="0" fontId="0" fillId="0" borderId="0" xfId="0" applyFont="1"/>
    <xf numFmtId="10" fontId="0" fillId="0" borderId="0" xfId="0" applyNumberFormat="1"/>
    <xf numFmtId="10" fontId="96" fillId="0" borderId="0" xfId="0" applyNumberFormat="1" applyFont="1"/>
    <xf numFmtId="10" fontId="0" fillId="0" borderId="0" xfId="0" applyNumberFormat="1" applyFont="1"/>
    <xf numFmtId="10" fontId="93" fillId="125" borderId="0" xfId="0" applyNumberFormat="1" applyFont="1" applyFill="1"/>
    <xf numFmtId="2" fontId="93" fillId="125" borderId="0" xfId="0" applyNumberFormat="1" applyFont="1" applyFill="1"/>
    <xf numFmtId="0" fontId="73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85" fillId="124" borderId="189" xfId="0" applyFont="1" applyFill="1" applyBorder="1" applyAlignment="1">
      <alignment vertical="center"/>
    </xf>
    <xf numFmtId="167" fontId="86" fillId="124" borderId="190" xfId="2" applyNumberFormat="1" applyFont="1" applyFill="1" applyBorder="1" applyAlignment="1">
      <alignment horizontal="center" vertical="center"/>
    </xf>
    <xf numFmtId="167" fontId="79" fillId="124" borderId="190" xfId="2" applyNumberFormat="1" applyFont="1" applyFill="1" applyBorder="1" applyAlignment="1">
      <alignment horizontal="right" vertical="center"/>
    </xf>
    <xf numFmtId="167" fontId="79" fillId="124" borderId="191" xfId="2" applyNumberFormat="1" applyFont="1" applyFill="1" applyBorder="1" applyAlignment="1">
      <alignment horizontal="right" vertical="center"/>
    </xf>
    <xf numFmtId="0" fontId="0" fillId="0" borderId="177" xfId="0" applyBorder="1" applyAlignment="1">
      <alignment vertical="center" wrapText="1"/>
    </xf>
    <xf numFmtId="0" fontId="77" fillId="0" borderId="192" xfId="0" applyFont="1" applyFill="1" applyBorder="1" applyAlignment="1">
      <alignment vertical="center"/>
    </xf>
    <xf numFmtId="167" fontId="81" fillId="0" borderId="0" xfId="2" applyNumberFormat="1" applyFont="1" applyFill="1" applyBorder="1" applyAlignment="1">
      <alignment horizontal="center" vertical="center"/>
    </xf>
    <xf numFmtId="167" fontId="78" fillId="0" borderId="0" xfId="2" applyNumberFormat="1" applyFont="1" applyFill="1" applyBorder="1" applyAlignment="1">
      <alignment horizontal="right" vertical="center"/>
    </xf>
    <xf numFmtId="167" fontId="78" fillId="0" borderId="193" xfId="2" applyNumberFormat="1" applyFont="1" applyFill="1" applyBorder="1" applyAlignment="1">
      <alignment horizontal="right" vertical="center"/>
    </xf>
    <xf numFmtId="167" fontId="78" fillId="0" borderId="192" xfId="2" applyNumberFormat="1" applyFont="1" applyFill="1" applyBorder="1" applyAlignment="1">
      <alignment horizontal="right" vertical="center"/>
    </xf>
    <xf numFmtId="167" fontId="77" fillId="0" borderId="0" xfId="2" applyNumberFormat="1" applyFont="1" applyFill="1" applyBorder="1" applyAlignment="1">
      <alignment horizontal="left" vertical="center"/>
    </xf>
    <xf numFmtId="0" fontId="0" fillId="0" borderId="192" xfId="0" applyBorder="1" applyAlignment="1">
      <alignment vertical="center"/>
    </xf>
    <xf numFmtId="0" fontId="77" fillId="0" borderId="185" xfId="0" applyFont="1" applyFill="1" applyBorder="1" applyAlignment="1">
      <alignment horizontal="left" vertical="center"/>
    </xf>
    <xf numFmtId="164" fontId="82" fillId="0" borderId="170" xfId="1" applyNumberFormat="1" applyFont="1" applyFill="1" applyBorder="1" applyAlignment="1">
      <alignment horizontal="center" vertical="center"/>
    </xf>
    <xf numFmtId="4" fontId="78" fillId="0" borderId="0" xfId="0" applyNumberFormat="1" applyFont="1" applyFill="1" applyBorder="1" applyAlignment="1">
      <alignment horizontal="center" vertical="center"/>
    </xf>
    <xf numFmtId="0" fontId="78" fillId="0" borderId="192" xfId="0" applyFont="1" applyFill="1" applyBorder="1" applyAlignment="1">
      <alignment vertical="center"/>
    </xf>
    <xf numFmtId="4" fontId="84" fillId="123" borderId="199" xfId="0" applyNumberFormat="1" applyFont="1" applyFill="1" applyBorder="1" applyAlignment="1">
      <alignment horizontal="center" vertical="center"/>
    </xf>
    <xf numFmtId="168" fontId="78" fillId="0" borderId="192" xfId="0" applyNumberFormat="1" applyFont="1" applyFill="1" applyBorder="1" applyAlignment="1">
      <alignment vertical="center"/>
    </xf>
    <xf numFmtId="0" fontId="78" fillId="0" borderId="197" xfId="0" applyFont="1" applyFill="1" applyBorder="1" applyAlignment="1">
      <alignment vertical="center"/>
    </xf>
    <xf numFmtId="167" fontId="81" fillId="0" borderId="194" xfId="2" applyNumberFormat="1" applyFont="1" applyFill="1" applyBorder="1" applyAlignment="1">
      <alignment horizontal="center" vertical="center"/>
    </xf>
    <xf numFmtId="167" fontId="78" fillId="0" borderId="194" xfId="2" applyNumberFormat="1" applyFont="1" applyFill="1" applyBorder="1" applyAlignment="1">
      <alignment horizontal="right" vertical="center"/>
    </xf>
    <xf numFmtId="167" fontId="78" fillId="0" borderId="195" xfId="2" applyNumberFormat="1" applyFont="1" applyFill="1" applyBorder="1" applyAlignment="1">
      <alignment horizontal="right" vertical="center"/>
    </xf>
    <xf numFmtId="0" fontId="50" fillId="74" borderId="0" xfId="0" applyFont="1" applyFill="1" applyAlignment="1">
      <alignment vertical="center" wrapText="1"/>
    </xf>
    <xf numFmtId="3" fontId="78" fillId="0" borderId="0" xfId="0" applyNumberFormat="1" applyFont="1" applyFill="1" applyBorder="1" applyAlignment="1">
      <alignment horizontal="center" vertical="center"/>
    </xf>
    <xf numFmtId="167" fontId="0" fillId="0" borderId="192" xfId="2" applyNumberFormat="1" applyFont="1" applyFill="1" applyBorder="1" applyAlignment="1">
      <alignment horizontal="right" vertical="center"/>
    </xf>
    <xf numFmtId="0" fontId="78" fillId="0" borderId="0" xfId="0" applyFont="1" applyFill="1" applyBorder="1" applyAlignment="1">
      <alignment vertical="center"/>
    </xf>
    <xf numFmtId="10" fontId="80" fillId="0" borderId="0" xfId="0" applyNumberFormat="1" applyFont="1" applyFill="1" applyBorder="1" applyAlignment="1">
      <alignment horizontal="center" vertical="center"/>
    </xf>
    <xf numFmtId="0" fontId="88" fillId="127" borderId="0" xfId="0" applyFont="1" applyFill="1" applyAlignment="1">
      <alignment vertical="center" wrapText="1"/>
    </xf>
    <xf numFmtId="0" fontId="88" fillId="34" borderId="42" xfId="0" applyFont="1" applyFill="1" applyBorder="1" applyAlignment="1">
      <alignment vertical="center" wrapText="1"/>
    </xf>
    <xf numFmtId="0" fontId="88" fillId="108" borderId="169" xfId="0" applyFont="1" applyFill="1" applyBorder="1" applyAlignment="1">
      <alignment vertical="center" wrapText="1"/>
    </xf>
    <xf numFmtId="0" fontId="88" fillId="79" borderId="122" xfId="0" applyFont="1" applyFill="1" applyBorder="1" applyAlignment="1">
      <alignment vertical="center" wrapText="1"/>
    </xf>
    <xf numFmtId="0" fontId="0" fillId="0" borderId="0" xfId="0" applyAlignment="1">
      <alignment horizontal="right" vertical="center" wrapText="1"/>
    </xf>
    <xf numFmtId="0" fontId="0" fillId="0" borderId="69" xfId="0" applyBorder="1" applyAlignment="1">
      <alignment horizontal="right" vertical="center" wrapText="1"/>
    </xf>
    <xf numFmtId="10" fontId="0" fillId="0" borderId="0" xfId="0" applyNumberFormat="1" applyAlignment="1">
      <alignment horizontal="right" vertical="center" wrapText="1"/>
    </xf>
    <xf numFmtId="0" fontId="0" fillId="0" borderId="44" xfId="0" applyBorder="1" applyAlignment="1">
      <alignment horizontal="right" vertical="center" wrapText="1"/>
    </xf>
    <xf numFmtId="10" fontId="0" fillId="0" borderId="126" xfId="0" applyNumberFormat="1" applyBorder="1" applyAlignment="1">
      <alignment horizontal="right" vertical="center" wrapText="1"/>
    </xf>
    <xf numFmtId="0" fontId="0" fillId="0" borderId="43" xfId="0" applyBorder="1" applyAlignment="1">
      <alignment horizontal="right" vertical="center" wrapText="1"/>
    </xf>
    <xf numFmtId="0" fontId="0" fillId="0" borderId="1" xfId="0" applyBorder="1" applyAlignment="1">
      <alignment vertical="center" wrapText="1"/>
    </xf>
    <xf numFmtId="0" fontId="0" fillId="0" borderId="164" xfId="0" applyBorder="1" applyAlignment="1">
      <alignment vertical="center" wrapText="1"/>
    </xf>
    <xf numFmtId="0" fontId="0" fillId="0" borderId="174" xfId="0" applyBorder="1" applyAlignment="1">
      <alignment horizontal="right" vertical="center" wrapText="1"/>
    </xf>
    <xf numFmtId="0" fontId="0" fillId="0" borderId="57" xfId="0" applyBorder="1" applyAlignment="1">
      <alignment horizontal="right" vertical="center" wrapText="1"/>
    </xf>
    <xf numFmtId="0" fontId="56" fillId="88" borderId="136" xfId="0" applyFont="1" applyFill="1" applyBorder="1" applyAlignment="1">
      <alignment vertical="center" wrapText="1"/>
    </xf>
    <xf numFmtId="0" fontId="0" fillId="107" borderId="168" xfId="0" applyFill="1" applyBorder="1" applyAlignment="1">
      <alignment horizontal="right" vertical="center" wrapText="1"/>
    </xf>
    <xf numFmtId="10" fontId="0" fillId="119" borderId="184" xfId="0" applyNumberFormat="1" applyFill="1" applyBorder="1" applyAlignment="1">
      <alignment horizontal="right" vertical="center" wrapText="1"/>
    </xf>
    <xf numFmtId="10" fontId="0" fillId="115" borderId="179" xfId="0" applyNumberFormat="1" applyFill="1" applyBorder="1" applyAlignment="1">
      <alignment horizontal="right" vertical="center" wrapText="1"/>
    </xf>
    <xf numFmtId="0" fontId="58" fillId="92" borderId="145" xfId="0" applyFont="1" applyFill="1" applyBorder="1" applyAlignment="1">
      <alignment vertical="center" wrapText="1"/>
    </xf>
    <xf numFmtId="0" fontId="0" fillId="80" borderId="0" xfId="0" applyFill="1" applyAlignment="1">
      <alignment vertical="center" wrapText="1"/>
    </xf>
    <xf numFmtId="4" fontId="0" fillId="7" borderId="0" xfId="0" applyNumberFormat="1" applyFill="1" applyAlignment="1">
      <alignment horizontal="right" vertical="center" wrapText="1"/>
    </xf>
    <xf numFmtId="10" fontId="0" fillId="44" borderId="0" xfId="0" applyNumberFormat="1" applyFill="1" applyAlignment="1">
      <alignment horizontal="right" vertical="center" wrapText="1"/>
    </xf>
    <xf numFmtId="10" fontId="0" fillId="16" borderId="14" xfId="0" applyNumberFormat="1" applyFill="1" applyBorder="1" applyAlignment="1">
      <alignment horizontal="right" vertical="center" wrapText="1"/>
    </xf>
    <xf numFmtId="0" fontId="14" fillId="20" borderId="19" xfId="0" applyFont="1" applyFill="1" applyBorder="1" applyAlignment="1">
      <alignment vertical="center" wrapText="1"/>
    </xf>
    <xf numFmtId="0" fontId="1" fillId="3" borderId="0" xfId="0" applyFont="1" applyFill="1" applyAlignment="1">
      <alignment vertical="center" wrapText="1"/>
    </xf>
    <xf numFmtId="0" fontId="1" fillId="97" borderId="0" xfId="0" applyFont="1" applyFill="1" applyAlignment="1">
      <alignment horizontal="right" vertical="center" wrapText="1"/>
    </xf>
    <xf numFmtId="0" fontId="62" fillId="97" borderId="0" xfId="0" applyFont="1" applyFill="1" applyAlignment="1">
      <alignment horizontal="right" vertical="center" wrapText="1"/>
    </xf>
    <xf numFmtId="10" fontId="5" fillId="5" borderId="0" xfId="0" applyNumberFormat="1" applyFont="1" applyFill="1" applyAlignment="1">
      <alignment horizontal="right" vertical="center" wrapText="1"/>
    </xf>
    <xf numFmtId="10" fontId="45" fillId="66" borderId="96" xfId="0" applyNumberFormat="1" applyFont="1" applyFill="1" applyBorder="1" applyAlignment="1">
      <alignment horizontal="right" vertical="center" wrapText="1"/>
    </xf>
    <xf numFmtId="0" fontId="57" fillId="91" borderId="142" xfId="0" applyFont="1" applyFill="1" applyBorder="1" applyAlignment="1">
      <alignment vertical="center" wrapText="1"/>
    </xf>
    <xf numFmtId="0" fontId="0" fillId="72" borderId="110" xfId="0" applyFill="1" applyBorder="1" applyAlignment="1">
      <alignment vertical="center" wrapText="1"/>
    </xf>
    <xf numFmtId="0" fontId="0" fillId="67" borderId="99" xfId="0" applyFill="1" applyBorder="1" applyAlignment="1">
      <alignment horizontal="right" vertical="center" wrapText="1"/>
    </xf>
    <xf numFmtId="10" fontId="0" fillId="31" borderId="38" xfId="0" applyNumberFormat="1" applyFill="1" applyBorder="1" applyAlignment="1">
      <alignment horizontal="right" vertical="center" wrapText="1"/>
    </xf>
    <xf numFmtId="10" fontId="0" fillId="83" borderId="128" xfId="0" applyNumberFormat="1" applyFill="1" applyBorder="1" applyAlignment="1">
      <alignment horizontal="right" vertical="center" wrapText="1"/>
    </xf>
    <xf numFmtId="0" fontId="36" fillId="0" borderId="74" xfId="0" applyFont="1" applyBorder="1" applyAlignment="1">
      <alignment vertical="center" wrapText="1"/>
    </xf>
    <xf numFmtId="4" fontId="0" fillId="104" borderId="161" xfId="0" applyNumberFormat="1" applyFill="1" applyBorder="1" applyAlignment="1">
      <alignment horizontal="right" vertical="center" wrapText="1"/>
    </xf>
    <xf numFmtId="4" fontId="0" fillId="30" borderId="37" xfId="0" applyNumberFormat="1" applyFill="1" applyBorder="1" applyAlignment="1">
      <alignment horizontal="right" vertical="center" wrapText="1"/>
    </xf>
    <xf numFmtId="0" fontId="0" fillId="0" borderId="125" xfId="0" applyFill="1" applyBorder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right" vertical="center" wrapText="1"/>
    </xf>
    <xf numFmtId="4" fontId="0" fillId="0" borderId="0" xfId="0" applyNumberFormat="1" applyFill="1" applyAlignment="1">
      <alignment horizontal="right" vertical="center" wrapText="1"/>
    </xf>
    <xf numFmtId="0" fontId="88" fillId="124" borderId="1" xfId="0" applyFont="1" applyFill="1" applyBorder="1" applyAlignment="1">
      <alignment wrapText="1"/>
    </xf>
    <xf numFmtId="0" fontId="88" fillId="124" borderId="106" xfId="0" applyFont="1" applyFill="1" applyBorder="1" applyAlignment="1">
      <alignment horizontal="center" wrapText="1"/>
    </xf>
    <xf numFmtId="0" fontId="88" fillId="124" borderId="22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vertical="center" wrapText="1"/>
    </xf>
    <xf numFmtId="2" fontId="0" fillId="0" borderId="0" xfId="0" applyNumberFormat="1" applyFill="1" applyBorder="1" applyAlignment="1">
      <alignment vertical="center" wrapText="1"/>
    </xf>
    <xf numFmtId="10" fontId="0" fillId="0" borderId="0" xfId="2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left" vertical="center" wrapText="1"/>
    </xf>
    <xf numFmtId="4" fontId="0" fillId="0" borderId="0" xfId="0" applyNumberForma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77" xfId="0" applyFont="1" applyBorder="1" applyAlignment="1">
      <alignment wrapText="1"/>
    </xf>
    <xf numFmtId="4" fontId="0" fillId="47" borderId="0" xfId="0" applyNumberFormat="1" applyFill="1" applyBorder="1" applyAlignment="1">
      <alignment wrapText="1"/>
    </xf>
    <xf numFmtId="0" fontId="23" fillId="0" borderId="171" xfId="0" applyFont="1" applyBorder="1" applyAlignment="1">
      <alignment wrapText="1"/>
    </xf>
    <xf numFmtId="4" fontId="40" fillId="56" borderId="171" xfId="0" applyNumberFormat="1" applyFont="1" applyFill="1" applyBorder="1" applyAlignment="1">
      <alignment wrapText="1"/>
    </xf>
    <xf numFmtId="4" fontId="20" fillId="0" borderId="171" xfId="0" applyNumberFormat="1" applyFont="1" applyBorder="1" applyAlignment="1">
      <alignment wrapText="1"/>
    </xf>
    <xf numFmtId="4" fontId="59" fillId="0" borderId="170" xfId="0" applyNumberFormat="1" applyFont="1" applyBorder="1" applyAlignment="1">
      <alignment wrapText="1"/>
    </xf>
    <xf numFmtId="0" fontId="100" fillId="0" borderId="171" xfId="0" applyFont="1" applyBorder="1" applyAlignment="1">
      <alignment wrapText="1"/>
    </xf>
    <xf numFmtId="4" fontId="101" fillId="0" borderId="0" xfId="0" applyNumberFormat="1" applyFont="1" applyFill="1" applyAlignment="1">
      <alignment wrapText="1"/>
    </xf>
    <xf numFmtId="0" fontId="100" fillId="0" borderId="0" xfId="0" applyFont="1" applyFill="1" applyAlignment="1">
      <alignment wrapText="1"/>
    </xf>
    <xf numFmtId="0" fontId="100" fillId="0" borderId="0" xfId="0" applyFont="1" applyAlignment="1">
      <alignment wrapText="1"/>
    </xf>
    <xf numFmtId="0" fontId="100" fillId="0" borderId="0" xfId="0" applyFont="1" applyFill="1" applyBorder="1" applyAlignment="1">
      <alignment wrapText="1"/>
    </xf>
    <xf numFmtId="4" fontId="100" fillId="0" borderId="0" xfId="0" applyNumberFormat="1" applyFont="1" applyFill="1" applyAlignment="1">
      <alignment wrapText="1"/>
    </xf>
    <xf numFmtId="0" fontId="100" fillId="0" borderId="177" xfId="0" applyFont="1" applyBorder="1" applyAlignment="1">
      <alignment wrapText="1"/>
    </xf>
    <xf numFmtId="10" fontId="100" fillId="47" borderId="171" xfId="2" applyNumberFormat="1" applyFont="1" applyFill="1" applyBorder="1" applyAlignment="1">
      <alignment wrapText="1"/>
    </xf>
    <xf numFmtId="10" fontId="100" fillId="0" borderId="171" xfId="2" applyNumberFormat="1" applyFont="1" applyFill="1" applyBorder="1" applyAlignment="1">
      <alignment wrapText="1"/>
    </xf>
    <xf numFmtId="10" fontId="100" fillId="0" borderId="170" xfId="2" applyNumberFormat="1" applyFont="1" applyFill="1" applyBorder="1" applyAlignment="1">
      <alignment wrapText="1"/>
    </xf>
    <xf numFmtId="10" fontId="100" fillId="32" borderId="0" xfId="2" applyNumberFormat="1" applyFont="1" applyFill="1" applyAlignment="1">
      <alignment wrapText="1"/>
    </xf>
    <xf numFmtId="10" fontId="100" fillId="0" borderId="0" xfId="2" applyNumberFormat="1" applyFont="1" applyFill="1" applyAlignment="1">
      <alignment wrapText="1"/>
    </xf>
    <xf numFmtId="10" fontId="100" fillId="0" borderId="185" xfId="2" applyNumberFormat="1" applyFont="1" applyFill="1" applyBorder="1" applyAlignment="1">
      <alignment wrapText="1"/>
    </xf>
    <xf numFmtId="10" fontId="101" fillId="56" borderId="171" xfId="2" applyNumberFormat="1" applyFont="1" applyFill="1" applyBorder="1" applyAlignment="1">
      <alignment wrapText="1"/>
    </xf>
    <xf numFmtId="10" fontId="101" fillId="0" borderId="171" xfId="2" applyNumberFormat="1" applyFont="1" applyFill="1" applyBorder="1" applyAlignment="1">
      <alignment wrapText="1"/>
    </xf>
    <xf numFmtId="10" fontId="101" fillId="0" borderId="170" xfId="2" applyNumberFormat="1" applyFont="1" applyFill="1" applyBorder="1" applyAlignment="1">
      <alignment wrapText="1"/>
    </xf>
    <xf numFmtId="0" fontId="87" fillId="0" borderId="0" xfId="3" applyAlignment="1" applyProtection="1">
      <alignment wrapText="1"/>
    </xf>
    <xf numFmtId="10" fontId="0" fillId="0" borderId="0" xfId="2" applyNumberFormat="1" applyFont="1" applyAlignment="1">
      <alignment vertical="center" wrapText="1"/>
    </xf>
    <xf numFmtId="9" fontId="0" fillId="0" borderId="164" xfId="2" applyFont="1" applyBorder="1" applyAlignment="1">
      <alignment wrapText="1"/>
    </xf>
    <xf numFmtId="9" fontId="0" fillId="0" borderId="83" xfId="2" applyFont="1" applyBorder="1" applyAlignment="1">
      <alignment wrapText="1"/>
    </xf>
    <xf numFmtId="10" fontId="0" fillId="81" borderId="171" xfId="0" applyNumberFormat="1" applyFill="1" applyBorder="1" applyAlignment="1">
      <alignment wrapText="1"/>
    </xf>
    <xf numFmtId="10" fontId="0" fillId="28" borderId="170" xfId="0" applyNumberFormat="1" applyFill="1" applyBorder="1" applyAlignment="1">
      <alignment wrapText="1"/>
    </xf>
    <xf numFmtId="10" fontId="0" fillId="0" borderId="125" xfId="0" applyNumberFormat="1" applyBorder="1" applyAlignment="1">
      <alignment wrapText="1"/>
    </xf>
    <xf numFmtId="10" fontId="0" fillId="0" borderId="143" xfId="0" applyNumberFormat="1" applyBorder="1" applyAlignment="1">
      <alignment wrapText="1"/>
    </xf>
    <xf numFmtId="10" fontId="0" fillId="0" borderId="46" xfId="0" applyNumberFormat="1" applyBorder="1" applyAlignment="1">
      <alignment wrapText="1"/>
    </xf>
    <xf numFmtId="0" fontId="0" fillId="61" borderId="0" xfId="0" applyFill="1" applyBorder="1" applyAlignment="1">
      <alignment wrapText="1"/>
    </xf>
    <xf numFmtId="9" fontId="0" fillId="0" borderId="51" xfId="2" applyFont="1" applyFill="1" applyBorder="1" applyAlignment="1">
      <alignment wrapText="1"/>
    </xf>
    <xf numFmtId="9" fontId="0" fillId="0" borderId="0" xfId="2" applyFont="1" applyFill="1" applyAlignment="1">
      <alignment wrapText="1"/>
    </xf>
    <xf numFmtId="9" fontId="0" fillId="0" borderId="95" xfId="2" applyFont="1" applyFill="1" applyBorder="1" applyAlignment="1">
      <alignment wrapText="1"/>
    </xf>
    <xf numFmtId="9" fontId="0" fillId="0" borderId="166" xfId="2" applyFont="1" applyFill="1" applyBorder="1" applyAlignment="1">
      <alignment wrapText="1"/>
    </xf>
    <xf numFmtId="9" fontId="0" fillId="0" borderId="87" xfId="2" applyFont="1" applyFill="1" applyBorder="1" applyAlignment="1">
      <alignment wrapText="1"/>
    </xf>
    <xf numFmtId="9" fontId="0" fillId="0" borderId="129" xfId="2" applyFont="1" applyFill="1" applyBorder="1" applyAlignment="1">
      <alignment wrapText="1"/>
    </xf>
    <xf numFmtId="0" fontId="3" fillId="0" borderId="188" xfId="0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4" fontId="0" fillId="0" borderId="0" xfId="0" applyNumberFormat="1" applyBorder="1" applyAlignment="1">
      <alignment vertical="center" wrapText="1"/>
    </xf>
    <xf numFmtId="0" fontId="0" fillId="0" borderId="171" xfId="0" applyBorder="1" applyAlignment="1">
      <alignment vertical="center" wrapText="1"/>
    </xf>
    <xf numFmtId="0" fontId="0" fillId="124" borderId="187" xfId="0" applyFill="1" applyBorder="1" applyAlignment="1">
      <alignment vertical="center" wrapText="1"/>
    </xf>
    <xf numFmtId="0" fontId="0" fillId="76" borderId="0" xfId="0" applyFill="1" applyBorder="1" applyAlignment="1">
      <alignment vertical="center" wrapText="1"/>
    </xf>
    <xf numFmtId="10" fontId="76" fillId="23" borderId="0" xfId="0" applyNumberFormat="1" applyFont="1" applyFill="1" applyBorder="1" applyAlignment="1">
      <alignment vertical="center" wrapText="1"/>
    </xf>
    <xf numFmtId="0" fontId="3" fillId="0" borderId="167" xfId="0" applyFont="1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5" xfId="0" applyBorder="1" applyAlignment="1">
      <alignment vertical="center" wrapText="1"/>
    </xf>
    <xf numFmtId="10" fontId="0" fillId="0" borderId="0" xfId="0" applyNumberFormat="1" applyBorder="1" applyAlignment="1">
      <alignment vertical="center" wrapText="1"/>
    </xf>
    <xf numFmtId="0" fontId="73" fillId="0" borderId="177" xfId="0" applyFont="1" applyBorder="1" applyAlignment="1">
      <alignment vertical="center" wrapText="1"/>
    </xf>
    <xf numFmtId="0" fontId="0" fillId="0" borderId="166" xfId="0" applyBorder="1" applyAlignment="1">
      <alignment vertical="center" wrapText="1"/>
    </xf>
    <xf numFmtId="4" fontId="0" fillId="0" borderId="171" xfId="0" applyNumberFormat="1" applyBorder="1" applyAlignment="1">
      <alignment vertical="center" wrapText="1"/>
    </xf>
    <xf numFmtId="0" fontId="0" fillId="0" borderId="170" xfId="0" applyBorder="1" applyAlignment="1">
      <alignment vertical="center" wrapText="1"/>
    </xf>
    <xf numFmtId="4" fontId="0" fillId="0" borderId="185" xfId="0" applyNumberFormat="1" applyBorder="1" applyAlignment="1">
      <alignment vertical="center" wrapText="1"/>
    </xf>
    <xf numFmtId="4" fontId="0" fillId="0" borderId="177" xfId="0" applyNumberFormat="1" applyBorder="1" applyAlignment="1">
      <alignment wrapText="1"/>
    </xf>
    <xf numFmtId="10" fontId="0" fillId="0" borderId="175" xfId="0" applyNumberFormat="1" applyFill="1" applyBorder="1" applyAlignment="1">
      <alignment wrapText="1"/>
    </xf>
    <xf numFmtId="10" fontId="0" fillId="0" borderId="177" xfId="0" applyNumberFormat="1" applyFill="1" applyBorder="1" applyAlignment="1">
      <alignment wrapText="1"/>
    </xf>
    <xf numFmtId="10" fontId="0" fillId="0" borderId="0" xfId="2" applyNumberFormat="1" applyFont="1" applyFill="1" applyAlignment="1">
      <alignment wrapText="1"/>
    </xf>
    <xf numFmtId="9" fontId="0" fillId="0" borderId="0" xfId="2" applyFont="1" applyAlignment="1">
      <alignment wrapText="1"/>
    </xf>
    <xf numFmtId="169" fontId="83" fillId="123" borderId="199" xfId="0" applyNumberFormat="1" applyFont="1" applyFill="1" applyBorder="1" applyAlignment="1">
      <alignment horizontal="center" vertical="center"/>
    </xf>
    <xf numFmtId="0" fontId="52" fillId="0" borderId="0" xfId="0" applyFont="1" applyFill="1" applyAlignment="1">
      <alignment wrapText="1"/>
    </xf>
    <xf numFmtId="4" fontId="66" fillId="0" borderId="0" xfId="0" applyNumberFormat="1" applyFont="1" applyFill="1" applyAlignment="1">
      <alignment wrapText="1"/>
    </xf>
    <xf numFmtId="0" fontId="0" fillId="0" borderId="0" xfId="0" applyFill="1" applyAlignment="1">
      <alignment horizontal="center" wrapText="1"/>
    </xf>
    <xf numFmtId="0" fontId="102" fillId="0" borderId="0" xfId="0" applyFont="1" applyAlignment="1">
      <alignment horizontal="center" wrapText="1"/>
    </xf>
    <xf numFmtId="0" fontId="44" fillId="65" borderId="94" xfId="0" applyFont="1" applyFill="1" applyBorder="1" applyAlignment="1">
      <alignment wrapText="1"/>
    </xf>
    <xf numFmtId="0" fontId="0" fillId="59" borderId="84" xfId="0" applyFill="1" applyBorder="1" applyAlignment="1">
      <alignment wrapText="1"/>
    </xf>
    <xf numFmtId="0" fontId="0" fillId="89" borderId="137" xfId="0" applyFill="1" applyBorder="1" applyAlignment="1">
      <alignment wrapText="1"/>
    </xf>
    <xf numFmtId="0" fontId="88" fillId="65" borderId="94" xfId="0" applyFont="1" applyFill="1" applyBorder="1" applyAlignment="1">
      <alignment wrapText="1"/>
    </xf>
    <xf numFmtId="0" fontId="89" fillId="33" borderId="41" xfId="0" applyFont="1" applyFill="1" applyBorder="1" applyAlignment="1">
      <alignment horizontal="center" vertical="center" wrapText="1"/>
    </xf>
    <xf numFmtId="0" fontId="89" fillId="121" borderId="187" xfId="0" applyFont="1" applyFill="1" applyBorder="1" applyAlignment="1">
      <alignment horizontal="center" vertical="center" wrapText="1"/>
    </xf>
    <xf numFmtId="0" fontId="88" fillId="84" borderId="130" xfId="0" applyFont="1" applyFill="1" applyBorder="1" applyAlignment="1">
      <alignment wrapText="1"/>
    </xf>
    <xf numFmtId="0" fontId="88" fillId="27" borderId="31" xfId="0" applyFont="1" applyFill="1" applyBorder="1" applyAlignment="1">
      <alignment wrapText="1"/>
    </xf>
    <xf numFmtId="0" fontId="88" fillId="64" borderId="92" xfId="0" applyFont="1" applyFill="1" applyBorder="1" applyAlignment="1">
      <alignment horizontal="center" wrapText="1"/>
    </xf>
    <xf numFmtId="0" fontId="88" fillId="120" borderId="186" xfId="0" applyFont="1" applyFill="1" applyBorder="1" applyAlignment="1">
      <alignment horizontal="center" wrapText="1"/>
    </xf>
    <xf numFmtId="0" fontId="88" fillId="35" borderId="47" xfId="0" applyFont="1" applyFill="1" applyBorder="1" applyAlignment="1">
      <alignment wrapText="1"/>
    </xf>
    <xf numFmtId="0" fontId="88" fillId="105" borderId="162" xfId="0" applyFont="1" applyFill="1" applyBorder="1" applyAlignment="1">
      <alignment wrapText="1"/>
    </xf>
    <xf numFmtId="0" fontId="89" fillId="33" borderId="188" xfId="0" applyFont="1" applyFill="1" applyBorder="1" applyAlignment="1">
      <alignment horizontal="center" vertical="center" wrapText="1"/>
    </xf>
    <xf numFmtId="0" fontId="89" fillId="121" borderId="179" xfId="0" applyFont="1" applyFill="1" applyBorder="1" applyAlignment="1">
      <alignment horizontal="center" vertical="center" wrapText="1"/>
    </xf>
    <xf numFmtId="0" fontId="29" fillId="40" borderId="54" xfId="0" applyFont="1" applyFill="1" applyBorder="1" applyAlignment="1">
      <alignment wrapText="1"/>
    </xf>
    <xf numFmtId="0" fontId="0" fillId="73" borderId="111" xfId="0" applyFill="1" applyBorder="1" applyAlignment="1">
      <alignment wrapText="1"/>
    </xf>
    <xf numFmtId="0" fontId="0" fillId="46" borderId="64" xfId="0" applyFill="1" applyBorder="1" applyAlignment="1">
      <alignment wrapText="1"/>
    </xf>
    <xf numFmtId="0" fontId="88" fillId="22" borderId="24" xfId="0" applyFont="1" applyFill="1" applyBorder="1" applyAlignment="1">
      <alignment wrapText="1"/>
    </xf>
    <xf numFmtId="0" fontId="89" fillId="6" borderId="3" xfId="0" applyFont="1" applyFill="1" applyBorder="1" applyAlignment="1">
      <alignment wrapText="1"/>
    </xf>
    <xf numFmtId="0" fontId="89" fillId="98" borderId="152" xfId="0" applyFont="1" applyFill="1" applyBorder="1" applyAlignment="1">
      <alignment wrapText="1"/>
    </xf>
    <xf numFmtId="0" fontId="88" fillId="125" borderId="0" xfId="0" applyFont="1" applyFill="1" applyAlignment="1">
      <alignment horizontal="left" vertical="center" wrapText="1"/>
    </xf>
    <xf numFmtId="0" fontId="88" fillId="124" borderId="180" xfId="0" applyFont="1" applyFill="1" applyBorder="1" applyAlignment="1">
      <alignment horizontal="left" vertical="center" wrapText="1"/>
    </xf>
    <xf numFmtId="0" fontId="88" fillId="124" borderId="182" xfId="0" applyFont="1" applyFill="1" applyBorder="1" applyAlignment="1">
      <alignment horizontal="left" vertical="center" wrapText="1"/>
    </xf>
    <xf numFmtId="167" fontId="77" fillId="0" borderId="194" xfId="2" applyNumberFormat="1" applyFont="1" applyFill="1" applyBorder="1" applyAlignment="1">
      <alignment horizontal="center" vertical="center"/>
    </xf>
    <xf numFmtId="0" fontId="0" fillId="0" borderId="198" xfId="0" applyFont="1" applyFill="1" applyBorder="1" applyAlignment="1">
      <alignment horizontal="center" vertical="center"/>
    </xf>
    <xf numFmtId="0" fontId="0" fillId="0" borderId="196" xfId="0" applyFont="1" applyFill="1" applyBorder="1" applyAlignment="1">
      <alignment horizontal="center" vertical="center"/>
    </xf>
    <xf numFmtId="0" fontId="88" fillId="65" borderId="180" xfId="0" applyFont="1" applyFill="1" applyBorder="1" applyAlignment="1">
      <alignment vertical="center" wrapText="1"/>
    </xf>
    <xf numFmtId="0" fontId="89" fillId="59" borderId="182" xfId="0" applyFont="1" applyFill="1" applyBorder="1" applyAlignment="1">
      <alignment vertical="center" wrapText="1"/>
    </xf>
    <xf numFmtId="0" fontId="89" fillId="89" borderId="187" xfId="0" applyFont="1" applyFill="1" applyBorder="1" applyAlignment="1">
      <alignment vertical="center" wrapText="1"/>
    </xf>
    <xf numFmtId="167" fontId="73" fillId="0" borderId="192" xfId="2" applyNumberFormat="1" applyFont="1" applyFill="1" applyBorder="1" applyAlignment="1">
      <alignment horizontal="center" vertical="center" wrapText="1"/>
    </xf>
    <xf numFmtId="0" fontId="94" fillId="0" borderId="0" xfId="0" applyFont="1" applyAlignment="1">
      <alignment horizontal="center"/>
    </xf>
    <xf numFmtId="0" fontId="97" fillId="0" borderId="0" xfId="0" applyFont="1" applyAlignment="1">
      <alignment horizontal="center"/>
    </xf>
    <xf numFmtId="0" fontId="103" fillId="0" borderId="119" xfId="0" applyFont="1" applyFill="1" applyBorder="1" applyAlignment="1">
      <alignment wrapText="1"/>
    </xf>
  </cellXfs>
  <cellStyles count="5">
    <cellStyle name="Comma" xfId="1" builtinId="3"/>
    <cellStyle name="Hyperlink" xfId="3" builtinId="8"/>
    <cellStyle name="Normal" xfId="0" builtinId="0"/>
    <cellStyle name="Normal 2" xfId="4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219075</xdr:colOff>
      <xdr:row>58</xdr:row>
      <xdr:rowOff>133350</xdr:rowOff>
    </xdr:to>
    <xdr:sp macro="" textlink="">
      <xdr:nvSpPr>
        <xdr:cNvPr id="1028" name="Rectangle 4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592666</xdr:colOff>
      <xdr:row>2</xdr:row>
      <xdr:rowOff>42333</xdr:rowOff>
    </xdr:from>
    <xdr:to>
      <xdr:col>6</xdr:col>
      <xdr:colOff>106891</xdr:colOff>
      <xdr:row>5</xdr:row>
      <xdr:rowOff>156633</xdr:rowOff>
    </xdr:to>
    <xdr:pic>
      <xdr:nvPicPr>
        <xdr:cNvPr id="2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74833" y="359833"/>
          <a:ext cx="2943225" cy="5905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people.stern.nyu.edu/adamodar/New_Home_Page/datafile/histgr.html" TargetMode="External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://people.stern.nyu.edu/adamodar/" TargetMode="External"/><Relationship Id="rId7" Type="http://schemas.openxmlformats.org/officeDocument/2006/relationships/comments" Target="../comments3.xml"/><Relationship Id="rId2" Type="http://schemas.openxmlformats.org/officeDocument/2006/relationships/hyperlink" Target="http://people.stern.nyu.edu/adamodar/pdfiles/papers/ERP2012.pdf" TargetMode="External"/><Relationship Id="rId1" Type="http://schemas.openxmlformats.org/officeDocument/2006/relationships/hyperlink" Target="http://www.bloomberg.com/quote/GDBR10:IND" TargetMode="External"/><Relationship Id="rId6" Type="http://schemas.openxmlformats.org/officeDocument/2006/relationships/vmlDrawing" Target="../drawings/vmlDrawing3.vml"/><Relationship Id="rId5" Type="http://schemas.openxmlformats.org/officeDocument/2006/relationships/drawing" Target="../drawings/drawing2.xml"/><Relationship Id="rId4" Type="http://schemas.openxmlformats.org/officeDocument/2006/relationships/hyperlink" Target="http://people.stern.nyu.edu/adamodar/New_Home_Page/datafile/ctryprem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106"/>
  <sheetViews>
    <sheetView topLeftCell="A21" zoomScale="85" zoomScaleNormal="85" workbookViewId="0">
      <selection activeCell="I65" sqref="I60:I65"/>
    </sheetView>
  </sheetViews>
  <sheetFormatPr defaultColWidth="17.140625" defaultRowHeight="12.75" customHeight="1" x14ac:dyDescent="0.2"/>
  <cols>
    <col min="8" max="8" width="19.5703125" customWidth="1"/>
  </cols>
  <sheetData>
    <row r="1" spans="1:16" ht="12.75" customHeight="1" x14ac:dyDescent="0.2">
      <c r="A1" s="452" t="s">
        <v>0</v>
      </c>
      <c r="B1" s="452"/>
      <c r="C1" s="452"/>
      <c r="D1" s="452"/>
      <c r="E1" s="452"/>
      <c r="F1" s="452"/>
      <c r="G1" s="118"/>
      <c r="H1" s="118"/>
      <c r="I1" s="118"/>
      <c r="J1" s="118"/>
      <c r="K1" s="118"/>
      <c r="L1" s="118"/>
      <c r="M1" s="118"/>
      <c r="N1" s="118"/>
      <c r="O1" s="118"/>
      <c r="P1" s="118"/>
    </row>
    <row r="2" spans="1:16" ht="12.75" customHeight="1" x14ac:dyDescent="0.2">
      <c r="A2" s="118" t="s">
        <v>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</row>
    <row r="3" spans="1:16" ht="12.75" customHeight="1" x14ac:dyDescent="0.2">
      <c r="A3" s="452" t="s">
        <v>2</v>
      </c>
      <c r="B3" s="452"/>
      <c r="C3" s="452"/>
      <c r="D3" s="452"/>
      <c r="E3" s="452"/>
      <c r="F3" s="452"/>
      <c r="G3" s="118"/>
      <c r="H3" s="196" t="s">
        <v>3</v>
      </c>
      <c r="I3" s="118"/>
      <c r="J3" s="118"/>
      <c r="K3" s="118"/>
      <c r="L3" s="118"/>
      <c r="M3" s="118"/>
      <c r="N3" s="118"/>
      <c r="O3" s="118"/>
      <c r="P3" s="118"/>
    </row>
    <row r="4" spans="1:16" ht="12.75" customHeight="1" x14ac:dyDescent="0.2">
      <c r="A4" s="197" t="s">
        <v>4</v>
      </c>
      <c r="B4" s="146" t="s">
        <v>5</v>
      </c>
      <c r="C4" s="146" t="s">
        <v>6</v>
      </c>
      <c r="D4" s="146" t="s">
        <v>7</v>
      </c>
      <c r="E4" s="146" t="s">
        <v>8</v>
      </c>
      <c r="F4" s="146" t="s">
        <v>9</v>
      </c>
      <c r="G4" s="120"/>
      <c r="H4" s="146" t="s">
        <v>5</v>
      </c>
      <c r="I4" s="146" t="s">
        <v>6</v>
      </c>
      <c r="J4" s="146" t="s">
        <v>7</v>
      </c>
      <c r="K4" s="146" t="s">
        <v>8</v>
      </c>
      <c r="L4" s="146" t="s">
        <v>9</v>
      </c>
      <c r="M4" s="120"/>
      <c r="N4" s="120"/>
      <c r="O4" s="118"/>
      <c r="P4" s="118"/>
    </row>
    <row r="5" spans="1:16" ht="12.75" customHeight="1" x14ac:dyDescent="0.2">
      <c r="A5" s="170">
        <v>2007</v>
      </c>
      <c r="B5" s="165">
        <v>821</v>
      </c>
      <c r="C5" s="165">
        <v>151404</v>
      </c>
      <c r="D5" s="165">
        <v>100209</v>
      </c>
      <c r="E5" s="165">
        <v>72169</v>
      </c>
      <c r="F5" s="166">
        <v>28040</v>
      </c>
      <c r="G5" s="198"/>
      <c r="H5" s="199"/>
      <c r="I5" s="165"/>
      <c r="J5" s="165"/>
      <c r="K5" s="165"/>
      <c r="L5" s="166"/>
      <c r="M5" s="200"/>
      <c r="N5" s="120"/>
      <c r="O5" s="118"/>
      <c r="P5" s="118"/>
    </row>
    <row r="6" spans="1:16" ht="12.75" customHeight="1" x14ac:dyDescent="0.2">
      <c r="A6" s="125">
        <v>2008</v>
      </c>
      <c r="B6" s="120">
        <v>561</v>
      </c>
      <c r="C6" s="120">
        <v>137523</v>
      </c>
      <c r="D6" s="120">
        <v>99256</v>
      </c>
      <c r="E6" s="120">
        <v>64193</v>
      </c>
      <c r="F6" s="122">
        <v>35063</v>
      </c>
      <c r="G6" s="198"/>
      <c r="H6" s="424">
        <f t="shared" ref="H6:L10" si="0">(B6/B5)-1</f>
        <v>-0.31668696711327649</v>
      </c>
      <c r="I6" s="425">
        <f t="shared" si="0"/>
        <v>-9.1681857810890111E-2</v>
      </c>
      <c r="J6" s="425">
        <f t="shared" si="0"/>
        <v>-9.5101238411720024E-3</v>
      </c>
      <c r="K6" s="425">
        <f t="shared" si="0"/>
        <v>-0.11051836661170311</v>
      </c>
      <c r="L6" s="426">
        <f t="shared" si="0"/>
        <v>0.25046362339514983</v>
      </c>
      <c r="M6" s="200"/>
      <c r="N6" s="120"/>
      <c r="O6" s="118"/>
      <c r="P6" s="118"/>
    </row>
    <row r="7" spans="1:16" ht="12.75" customHeight="1" x14ac:dyDescent="0.2">
      <c r="A7" s="125">
        <v>2009</v>
      </c>
      <c r="B7" s="120">
        <v>442</v>
      </c>
      <c r="C7" s="120">
        <v>148966</v>
      </c>
      <c r="D7" s="120">
        <v>77990</v>
      </c>
      <c r="E7" s="120">
        <v>33077</v>
      </c>
      <c r="F7" s="122">
        <v>44913</v>
      </c>
      <c r="G7" s="198"/>
      <c r="H7" s="424">
        <f t="shared" si="0"/>
        <v>-0.21212121212121215</v>
      </c>
      <c r="I7" s="425">
        <f t="shared" si="0"/>
        <v>8.3207899769493165E-2</v>
      </c>
      <c r="J7" s="425">
        <f t="shared" si="0"/>
        <v>-0.21425405013298948</v>
      </c>
      <c r="K7" s="425">
        <f t="shared" si="0"/>
        <v>-0.4847257489134329</v>
      </c>
      <c r="L7" s="426">
        <f>C16</f>
        <v>0.4446282405954996</v>
      </c>
      <c r="M7" s="200"/>
      <c r="N7" s="120"/>
      <c r="O7" s="118"/>
      <c r="P7" s="118"/>
    </row>
    <row r="8" spans="1:16" ht="12.75" customHeight="1" x14ac:dyDescent="0.2">
      <c r="A8" s="125">
        <v>2010</v>
      </c>
      <c r="B8" s="120">
        <v>414</v>
      </c>
      <c r="C8" s="120">
        <v>197214</v>
      </c>
      <c r="D8" s="120">
        <v>108717</v>
      </c>
      <c r="E8" s="120">
        <v>35947</v>
      </c>
      <c r="F8" s="122">
        <v>72770</v>
      </c>
      <c r="G8" s="198"/>
      <c r="H8" s="424">
        <f t="shared" si="0"/>
        <v>-6.3348416289592757E-2</v>
      </c>
      <c r="I8" s="425">
        <f t="shared" si="0"/>
        <v>0.3238859874065223</v>
      </c>
      <c r="J8" s="425">
        <f t="shared" si="0"/>
        <v>0.39398640851391198</v>
      </c>
      <c r="K8" s="425">
        <f t="shared" si="0"/>
        <v>8.6767240076185859E-2</v>
      </c>
      <c r="L8" s="426">
        <f t="shared" si="0"/>
        <v>0.62024358203638141</v>
      </c>
      <c r="M8" s="200"/>
      <c r="N8" s="120"/>
      <c r="O8" s="118"/>
      <c r="P8" s="118"/>
    </row>
    <row r="9" spans="1:16" ht="12.75" customHeight="1" x14ac:dyDescent="0.2">
      <c r="A9" s="125">
        <v>2011</v>
      </c>
      <c r="B9" s="120">
        <v>445</v>
      </c>
      <c r="C9" s="120">
        <v>238368</v>
      </c>
      <c r="D9" s="120">
        <v>116061</v>
      </c>
      <c r="E9" s="120">
        <v>32025</v>
      </c>
      <c r="F9" s="122">
        <v>84036</v>
      </c>
      <c r="G9" s="198"/>
      <c r="H9" s="424">
        <f t="shared" si="0"/>
        <v>7.4879227053140207E-2</v>
      </c>
      <c r="I9" s="425">
        <f t="shared" si="0"/>
        <v>0.20867686878213521</v>
      </c>
      <c r="J9" s="425">
        <f t="shared" si="0"/>
        <v>6.7551532878942666E-2</v>
      </c>
      <c r="K9" s="425">
        <f t="shared" si="0"/>
        <v>-0.10910507135505054</v>
      </c>
      <c r="L9" s="426">
        <f t="shared" si="0"/>
        <v>0.15481654527964817</v>
      </c>
      <c r="M9" s="200"/>
      <c r="N9" s="120"/>
      <c r="O9" s="118"/>
      <c r="P9" s="118"/>
    </row>
    <row r="10" spans="1:16" ht="12.75" customHeight="1" x14ac:dyDescent="0.2">
      <c r="A10" s="171">
        <v>2012</v>
      </c>
      <c r="B10" s="146">
        <v>427</v>
      </c>
      <c r="C10" s="146">
        <v>230141</v>
      </c>
      <c r="D10" s="146">
        <v>98503</v>
      </c>
      <c r="E10" s="146">
        <v>26495</v>
      </c>
      <c r="F10" s="147">
        <v>72008</v>
      </c>
      <c r="G10" s="198"/>
      <c r="H10" s="427">
        <f t="shared" si="0"/>
        <v>-4.0449438202247223E-2</v>
      </c>
      <c r="I10" s="428">
        <f t="shared" si="0"/>
        <v>-3.4513860920929007E-2</v>
      </c>
      <c r="J10" s="428">
        <f t="shared" si="0"/>
        <v>-0.15128251522906055</v>
      </c>
      <c r="K10" s="428">
        <f t="shared" si="0"/>
        <v>-0.17267759562841534</v>
      </c>
      <c r="L10" s="429">
        <f t="shared" si="0"/>
        <v>-0.1431291351325622</v>
      </c>
      <c r="M10" s="200"/>
      <c r="N10" s="120"/>
      <c r="O10" s="118"/>
      <c r="P10" s="118"/>
    </row>
    <row r="11" spans="1:16" ht="12.75" customHeight="1" x14ac:dyDescent="0.2">
      <c r="A11" s="127"/>
      <c r="B11" s="165"/>
      <c r="C11" s="165"/>
      <c r="D11" s="165"/>
      <c r="E11" s="165"/>
      <c r="F11" s="165"/>
      <c r="G11" s="120"/>
      <c r="H11" s="165"/>
      <c r="I11" s="165"/>
      <c r="J11" s="165"/>
      <c r="K11" s="165"/>
      <c r="L11" s="165"/>
      <c r="M11" s="120"/>
      <c r="N11" s="120"/>
      <c r="O11" s="118"/>
      <c r="P11" s="118"/>
    </row>
    <row r="12" spans="1:16" ht="12.75" customHeight="1" x14ac:dyDescent="0.2">
      <c r="A12" s="196" t="s">
        <v>10</v>
      </c>
      <c r="B12" s="120"/>
      <c r="C12" s="120"/>
      <c r="D12" s="120" t="s">
        <v>11</v>
      </c>
      <c r="E12" s="120"/>
      <c r="F12" s="120"/>
      <c r="G12" s="120"/>
      <c r="H12" s="202" t="s">
        <v>12</v>
      </c>
      <c r="I12" s="120"/>
      <c r="J12" s="120"/>
      <c r="K12" s="120" t="s">
        <v>13</v>
      </c>
      <c r="L12" s="120"/>
      <c r="M12" s="120"/>
      <c r="N12" s="120"/>
      <c r="O12" s="118"/>
      <c r="P12" s="118"/>
    </row>
    <row r="13" spans="1:16" ht="12.75" customHeight="1" x14ac:dyDescent="0.2">
      <c r="A13" s="197" t="s">
        <v>4</v>
      </c>
      <c r="B13" s="146" t="s">
        <v>14</v>
      </c>
      <c r="C13" s="146" t="s">
        <v>15</v>
      </c>
      <c r="D13" s="146" t="s">
        <v>16</v>
      </c>
      <c r="E13" s="146" t="s">
        <v>17</v>
      </c>
      <c r="F13" s="146" t="s">
        <v>18</v>
      </c>
      <c r="G13" s="120"/>
      <c r="H13" s="146" t="s">
        <v>19</v>
      </c>
      <c r="I13" s="146" t="s">
        <v>20</v>
      </c>
      <c r="J13" s="146" t="s">
        <v>21</v>
      </c>
      <c r="K13" s="146" t="s">
        <v>22</v>
      </c>
      <c r="L13" s="146" t="s">
        <v>23</v>
      </c>
      <c r="M13" s="146" t="s">
        <v>24</v>
      </c>
      <c r="N13" s="146" t="s">
        <v>25</v>
      </c>
      <c r="O13" s="118"/>
      <c r="P13" s="118"/>
    </row>
    <row r="14" spans="1:16" ht="12.75" customHeight="1" x14ac:dyDescent="0.2">
      <c r="A14" s="170">
        <v>2007</v>
      </c>
      <c r="B14" s="165"/>
      <c r="C14" s="165"/>
      <c r="D14" s="165"/>
      <c r="E14" s="165"/>
      <c r="F14" s="166"/>
      <c r="G14" s="198"/>
      <c r="H14" s="199">
        <f t="shared" ref="H14:H19" si="1">C60/(M23/100)</f>
        <v>91.86042231574298</v>
      </c>
      <c r="I14" s="165">
        <f t="shared" ref="I14:I19" si="2">(D60+H60)/(M23/100)</f>
        <v>0</v>
      </c>
      <c r="J14" s="165">
        <f>M68/(M23/100)</f>
        <v>10.273241475773899</v>
      </c>
      <c r="K14" s="165">
        <f t="shared" ref="K14:K19" si="3">I60/(M23/100)</f>
        <v>7.4843870777762778E-2</v>
      </c>
      <c r="L14" s="165">
        <f t="shared" ref="L14:L19" si="4">-H68/(M23/100)</f>
        <v>-2.2085076622946396</v>
      </c>
      <c r="M14" s="165">
        <f t="shared" ref="M14:M19" si="5">B68/(M23/100)</f>
        <v>34.403641583745383</v>
      </c>
      <c r="N14" s="166">
        <f t="shared" ref="N14:N19" si="6">(G68+I68)/(M23/100)</f>
        <v>65.596358416254617</v>
      </c>
      <c r="O14" s="125"/>
      <c r="P14" s="118"/>
    </row>
    <row r="15" spans="1:16" ht="12.75" customHeight="1" x14ac:dyDescent="0.2">
      <c r="A15" s="125">
        <v>2008</v>
      </c>
      <c r="B15" s="120">
        <f>SUM(C15:F15)</f>
        <v>0.24511412268188298</v>
      </c>
      <c r="C15" s="120">
        <f>B24</f>
        <v>0.24511412268188298</v>
      </c>
      <c r="D15" s="120">
        <f>-L61/B68</f>
        <v>0</v>
      </c>
      <c r="E15" s="120">
        <f>M61/B68</f>
        <v>0</v>
      </c>
      <c r="F15" s="122">
        <f>N61/B68</f>
        <v>0</v>
      </c>
      <c r="G15" s="198"/>
      <c r="H15" s="200">
        <f t="shared" si="1"/>
        <v>57.95356726922882</v>
      </c>
      <c r="I15" s="120">
        <f t="shared" si="2"/>
        <v>0</v>
      </c>
      <c r="J15" s="120">
        <f t="shared" ref="J15:J19" si="7">M69/(M24/100)</f>
        <v>44.563015848903738</v>
      </c>
      <c r="K15" s="120">
        <f t="shared" si="3"/>
        <v>2.2785963846270695E-2</v>
      </c>
      <c r="L15" s="120">
        <f t="shared" si="4"/>
        <v>-2.5393690819788342</v>
      </c>
      <c r="M15" s="120">
        <f t="shared" si="5"/>
        <v>44.385791685654965</v>
      </c>
      <c r="N15" s="122">
        <f t="shared" si="6"/>
        <v>55.614208314345028</v>
      </c>
      <c r="O15" s="125"/>
      <c r="P15" s="118"/>
    </row>
    <row r="16" spans="1:16" ht="12.75" customHeight="1" x14ac:dyDescent="0.2">
      <c r="A16" s="125">
        <v>2009</v>
      </c>
      <c r="B16" s="120">
        <f t="shared" ref="B16:B19" si="8">SUM(C16:F16)</f>
        <v>0.4446282405954996</v>
      </c>
      <c r="C16" s="120">
        <f>B25</f>
        <v>0.4446282405954996</v>
      </c>
      <c r="D16" s="120">
        <f t="shared" ref="D16:D19" si="9">-L62/B69</f>
        <v>0</v>
      </c>
      <c r="E16" s="120">
        <f>M62/B69</f>
        <v>0</v>
      </c>
      <c r="F16" s="122">
        <f>N62/B69</f>
        <v>0</v>
      </c>
      <c r="G16" s="198"/>
      <c r="H16" s="200">
        <f t="shared" si="1"/>
        <v>60.752840406328538</v>
      </c>
      <c r="I16" s="120">
        <f t="shared" si="2"/>
        <v>0</v>
      </c>
      <c r="J16" s="120">
        <f t="shared" si="7"/>
        <v>39.535624535447567</v>
      </c>
      <c r="K16" s="120">
        <f t="shared" si="3"/>
        <v>9.9104519873995697E-2</v>
      </c>
      <c r="L16" s="120">
        <f t="shared" si="4"/>
        <v>-0.38756946165009032</v>
      </c>
      <c r="M16" s="120">
        <f t="shared" si="5"/>
        <v>79.483594662513724</v>
      </c>
      <c r="N16" s="122">
        <f t="shared" si="6"/>
        <v>20.516405337486287</v>
      </c>
      <c r="O16" s="125"/>
      <c r="P16" s="118"/>
    </row>
    <row r="17" spans="1:19" ht="12.75" customHeight="1" x14ac:dyDescent="0.2">
      <c r="A17" s="125">
        <v>2010</v>
      </c>
      <c r="B17" s="120">
        <f t="shared" si="8"/>
        <v>0.62024358203638141</v>
      </c>
      <c r="C17" s="120">
        <f>B26</f>
        <v>0.62024358203638141</v>
      </c>
      <c r="D17" s="120">
        <f t="shared" si="9"/>
        <v>0</v>
      </c>
      <c r="E17" s="120">
        <f>M63/B70</f>
        <v>0</v>
      </c>
      <c r="F17" s="122">
        <f>N63/B70</f>
        <v>0</v>
      </c>
      <c r="G17" s="198"/>
      <c r="H17" s="200">
        <f t="shared" si="1"/>
        <v>38.363015524441792</v>
      </c>
      <c r="I17" s="120">
        <f t="shared" si="2"/>
        <v>0</v>
      </c>
      <c r="J17" s="120">
        <f t="shared" si="7"/>
        <v>62.223435179425991</v>
      </c>
      <c r="K17" s="120">
        <f t="shared" si="3"/>
        <v>0.43793396717399308</v>
      </c>
      <c r="L17" s="120">
        <f t="shared" si="4"/>
        <v>-1.0243846710417752</v>
      </c>
      <c r="M17" s="120">
        <f t="shared" si="5"/>
        <v>92.37233272826515</v>
      </c>
      <c r="N17" s="122">
        <f t="shared" si="6"/>
        <v>7.6276672717348539</v>
      </c>
      <c r="O17" s="125"/>
      <c r="P17" s="118"/>
    </row>
    <row r="18" spans="1:19" ht="12.75" customHeight="1" x14ac:dyDescent="0.2">
      <c r="A18" s="125">
        <v>2011</v>
      </c>
      <c r="B18" s="120">
        <f t="shared" si="8"/>
        <v>0.15481654527964819</v>
      </c>
      <c r="C18" s="120">
        <f>B27</f>
        <v>0.36843479455819705</v>
      </c>
      <c r="D18" s="120">
        <f t="shared" si="9"/>
        <v>-0.21361824927854886</v>
      </c>
      <c r="E18" s="120">
        <f>M64/B71</f>
        <v>0</v>
      </c>
      <c r="F18" s="122">
        <f>N64/B71</f>
        <v>0</v>
      </c>
      <c r="G18" s="198"/>
      <c r="H18" s="200">
        <f t="shared" si="1"/>
        <v>34.7964874945921</v>
      </c>
      <c r="I18" s="120">
        <f t="shared" si="2"/>
        <v>0</v>
      </c>
      <c r="J18" s="120">
        <f t="shared" si="7"/>
        <v>64.14064052944822</v>
      </c>
      <c r="K18" s="120">
        <f t="shared" si="3"/>
        <v>2.2286402488219541</v>
      </c>
      <c r="L18" s="120">
        <f t="shared" si="4"/>
        <v>-1.1657682728622709</v>
      </c>
      <c r="M18" s="120">
        <f t="shared" si="5"/>
        <v>98.261286437566497</v>
      </c>
      <c r="N18" s="122">
        <f t="shared" si="6"/>
        <v>1.7387135624334973</v>
      </c>
      <c r="O18" s="125"/>
      <c r="P18" s="118"/>
    </row>
    <row r="19" spans="1:19" ht="12.75" customHeight="1" x14ac:dyDescent="0.2">
      <c r="A19" s="171">
        <v>2012</v>
      </c>
      <c r="B19" s="120">
        <f t="shared" si="8"/>
        <v>-0.14312913513256231</v>
      </c>
      <c r="C19" s="146">
        <f>B28</f>
        <v>0.31932743110095668</v>
      </c>
      <c r="D19" s="120">
        <f t="shared" si="9"/>
        <v>-0.462456566233519</v>
      </c>
      <c r="E19" s="146">
        <f>M65/B72</f>
        <v>0</v>
      </c>
      <c r="F19" s="147">
        <f>N65/B72</f>
        <v>0</v>
      </c>
      <c r="G19" s="198"/>
      <c r="H19" s="201">
        <f t="shared" si="1"/>
        <v>53.676338452606409</v>
      </c>
      <c r="I19" s="146">
        <f t="shared" si="2"/>
        <v>0</v>
      </c>
      <c r="J19" s="146">
        <f t="shared" si="7"/>
        <v>44.252913285688614</v>
      </c>
      <c r="K19" s="146">
        <f t="shared" si="3"/>
        <v>4.3834063670670851</v>
      </c>
      <c r="L19" s="146">
        <f t="shared" si="4"/>
        <v>-2.3126581053621047</v>
      </c>
      <c r="M19" s="146">
        <f t="shared" si="5"/>
        <v>99.539680126069598</v>
      </c>
      <c r="N19" s="147">
        <f t="shared" si="6"/>
        <v>0.4603198739304129</v>
      </c>
      <c r="O19" s="125"/>
      <c r="P19" s="118"/>
    </row>
    <row r="20" spans="1:19" ht="12.75" customHeight="1" x14ac:dyDescent="0.2">
      <c r="A20" s="127"/>
      <c r="B20" s="165"/>
      <c r="C20" s="165"/>
      <c r="D20" s="165"/>
      <c r="E20" s="165"/>
      <c r="F20" s="165"/>
      <c r="G20" s="120"/>
      <c r="H20" s="165"/>
      <c r="I20" s="165"/>
      <c r="J20" s="165"/>
      <c r="K20" s="165"/>
      <c r="L20" s="165"/>
      <c r="M20" s="165"/>
      <c r="N20" s="165"/>
      <c r="O20" s="118"/>
      <c r="P20" s="118"/>
    </row>
    <row r="21" spans="1:19" ht="12.75" customHeight="1" x14ac:dyDescent="0.2">
      <c r="A21" s="196" t="s">
        <v>26</v>
      </c>
      <c r="B21" s="120"/>
      <c r="C21" s="120"/>
      <c r="D21" s="120" t="s">
        <v>11</v>
      </c>
      <c r="E21" s="120"/>
      <c r="F21" s="120"/>
      <c r="G21" s="120"/>
      <c r="H21" s="120"/>
      <c r="I21" s="202" t="s">
        <v>27</v>
      </c>
      <c r="J21" s="120"/>
      <c r="K21" s="120"/>
      <c r="L21" s="120"/>
      <c r="M21" s="120"/>
      <c r="N21" s="120"/>
      <c r="O21" s="118"/>
      <c r="P21" s="118"/>
    </row>
    <row r="22" spans="1:19" ht="12.75" customHeight="1" x14ac:dyDescent="0.2">
      <c r="A22" s="197" t="s">
        <v>4</v>
      </c>
      <c r="B22" s="146" t="s">
        <v>28</v>
      </c>
      <c r="C22" s="146" t="s">
        <v>29</v>
      </c>
      <c r="D22" s="146" t="s">
        <v>30</v>
      </c>
      <c r="E22" s="146" t="s">
        <v>31</v>
      </c>
      <c r="F22" s="146" t="s">
        <v>32</v>
      </c>
      <c r="G22" s="146" t="s">
        <v>33</v>
      </c>
      <c r="H22" s="120"/>
      <c r="I22" s="146" t="s">
        <v>34</v>
      </c>
      <c r="J22" s="146" t="s">
        <v>35</v>
      </c>
      <c r="K22" s="146" t="s">
        <v>36</v>
      </c>
      <c r="L22" s="120"/>
      <c r="M22" s="146" t="s">
        <v>37</v>
      </c>
      <c r="N22" s="120"/>
      <c r="O22" s="118"/>
      <c r="P22" s="118"/>
    </row>
    <row r="23" spans="1:19" ht="12.75" customHeight="1" x14ac:dyDescent="0.2">
      <c r="A23" s="170">
        <v>2007</v>
      </c>
      <c r="B23" s="165"/>
      <c r="C23" s="165"/>
      <c r="D23" s="165"/>
      <c r="E23" s="165"/>
      <c r="F23" s="165"/>
      <c r="G23" s="166"/>
      <c r="H23" s="192"/>
      <c r="I23" s="199"/>
      <c r="J23" s="165"/>
      <c r="K23" s="166"/>
      <c r="L23" s="198"/>
      <c r="M23" s="203">
        <f t="shared" ref="M23:M28" si="10">(B68+G68)+I68</f>
        <v>81503</v>
      </c>
      <c r="N23" s="200"/>
      <c r="O23" s="118"/>
      <c r="P23" s="123"/>
      <c r="R23" s="33"/>
      <c r="S23" s="33"/>
    </row>
    <row r="24" spans="1:19" ht="12.75" customHeight="1" x14ac:dyDescent="0.2">
      <c r="A24" s="125">
        <v>2008</v>
      </c>
      <c r="B24" s="120">
        <f>C24*(D24+((E24-F24)*G24))</f>
        <v>0.24511412268188298</v>
      </c>
      <c r="C24" s="120">
        <f>N77/(N77+L77)</f>
        <v>0.85506344861905947</v>
      </c>
      <c r="D24" s="120">
        <f>B33</f>
        <v>0.14167576653620112</v>
      </c>
      <c r="E24" s="120">
        <f>B33</f>
        <v>0.14167576653620112</v>
      </c>
      <c r="F24" s="120">
        <f>ABS((K77/(G68+I68)))</f>
        <v>6.5634176907393899E-2</v>
      </c>
      <c r="G24" s="122">
        <f>(G68+I68)/B68</f>
        <v>1.9066690442225391</v>
      </c>
      <c r="H24" s="192"/>
      <c r="I24" s="200">
        <f>J24/K24</f>
        <v>1.6128608762867624</v>
      </c>
      <c r="J24" s="120">
        <f>B77</f>
        <v>131453</v>
      </c>
      <c r="K24" s="122">
        <f>(B68+G68)+I68</f>
        <v>81503</v>
      </c>
      <c r="L24" s="198"/>
      <c r="M24" s="198">
        <f t="shared" si="10"/>
        <v>78996</v>
      </c>
      <c r="N24" s="200"/>
      <c r="O24" s="118"/>
      <c r="P24" s="123"/>
      <c r="R24" s="33"/>
      <c r="S24" s="33"/>
    </row>
    <row r="25" spans="1:19" ht="12.75" customHeight="1" x14ac:dyDescent="0.2">
      <c r="A25" s="125">
        <v>2009</v>
      </c>
      <c r="B25" s="120">
        <f>C25*(D25+((E25-F25)*G25))</f>
        <v>0.4446282405954996</v>
      </c>
      <c r="C25" s="120">
        <f>N78/(N78+L78)</f>
        <v>0.81008054040010391</v>
      </c>
      <c r="D25" s="120">
        <f>B34</f>
        <v>0.25893716137525952</v>
      </c>
      <c r="E25" s="120">
        <f>B34</f>
        <v>0.25893716137525952</v>
      </c>
      <c r="F25" s="120">
        <f>ABS((K78/(G69+I69)))</f>
        <v>2.7541938861448113E-2</v>
      </c>
      <c r="G25" s="122">
        <f>(G69+I69)/B69</f>
        <v>1.2529732196332317</v>
      </c>
      <c r="H25" s="192"/>
      <c r="I25" s="200">
        <f>J25/K25</f>
        <v>1.885741050179756</v>
      </c>
      <c r="J25" s="120">
        <f>B78</f>
        <v>148966</v>
      </c>
      <c r="K25" s="122">
        <f>(B69+G69)+I69</f>
        <v>78996</v>
      </c>
      <c r="L25" s="198"/>
      <c r="M25" s="198">
        <f t="shared" si="10"/>
        <v>56506</v>
      </c>
      <c r="N25" s="200"/>
      <c r="O25" s="118"/>
      <c r="P25" s="123"/>
      <c r="R25" s="33"/>
      <c r="S25" s="33"/>
    </row>
    <row r="26" spans="1:19" ht="12.75" customHeight="1" x14ac:dyDescent="0.2">
      <c r="A26" s="125">
        <v>2010</v>
      </c>
      <c r="B26" s="120">
        <f>C26*(D26+((E26-F26)*G26))</f>
        <v>0.62024358203638141</v>
      </c>
      <c r="C26" s="120">
        <f>N79/(N79+L79)</f>
        <v>0.8505694482611218</v>
      </c>
      <c r="D26" s="120">
        <f>B35</f>
        <v>0.5933352210384738</v>
      </c>
      <c r="E26" s="120">
        <f>B35</f>
        <v>0.5933352210384738</v>
      </c>
      <c r="F26" s="120">
        <f>ABS((K79/(G70+I70)))</f>
        <v>6.6936944708013452E-2</v>
      </c>
      <c r="G26" s="122">
        <f>(G70+I70)/B70</f>
        <v>0.25812125665174895</v>
      </c>
      <c r="H26" s="192"/>
      <c r="I26" s="200">
        <f>J26/K26</f>
        <v>3.490142639719676</v>
      </c>
      <c r="J26" s="120">
        <f>B79</f>
        <v>197214</v>
      </c>
      <c r="K26" s="122">
        <f>(B70+G70)+I70</f>
        <v>56506</v>
      </c>
      <c r="L26" s="198"/>
      <c r="M26" s="198">
        <f t="shared" si="10"/>
        <v>78779</v>
      </c>
      <c r="N26" s="200"/>
      <c r="O26" s="118"/>
      <c r="P26" s="123"/>
      <c r="R26" s="33"/>
      <c r="S26" s="33"/>
    </row>
    <row r="27" spans="1:19" ht="12.75" customHeight="1" x14ac:dyDescent="0.2">
      <c r="A27" s="125">
        <v>2011</v>
      </c>
      <c r="B27" s="120">
        <f>C27*(D27+((E27-F27)*G27))</f>
        <v>0.36843479455819705</v>
      </c>
      <c r="C27" s="120">
        <f>N80/(N80+L80)</f>
        <v>0.86682832201745874</v>
      </c>
      <c r="D27" s="120">
        <f>B36</f>
        <v>0.3949148884855101</v>
      </c>
      <c r="E27" s="120">
        <f>B36</f>
        <v>0.3949148884855101</v>
      </c>
      <c r="F27" s="120">
        <f>ABS((K80/(G71+I71)))</f>
        <v>3.0121484440006657E-2</v>
      </c>
      <c r="G27" s="122">
        <f>(G71+I71)/B71</f>
        <v>8.2575237048234162E-2</v>
      </c>
      <c r="H27" s="198"/>
      <c r="I27" s="200">
        <f>J27/K27</f>
        <v>3.0257809822414603</v>
      </c>
      <c r="J27" s="120">
        <f>B80</f>
        <v>238368</v>
      </c>
      <c r="K27" s="122">
        <f>(B71+G71)+I71</f>
        <v>78779</v>
      </c>
      <c r="L27" s="198"/>
      <c r="M27" s="198">
        <f t="shared" si="10"/>
        <v>85523</v>
      </c>
      <c r="N27" s="200"/>
      <c r="O27" s="118"/>
      <c r="P27" s="123"/>
      <c r="R27" s="33"/>
      <c r="S27" s="33"/>
    </row>
    <row r="28" spans="1:19" ht="12.75" customHeight="1" x14ac:dyDescent="0.2">
      <c r="A28" s="171">
        <v>2012</v>
      </c>
      <c r="B28" s="146">
        <f>C28*(D28+((E28-F28)*G28))</f>
        <v>0.31932743110095668</v>
      </c>
      <c r="C28" s="146">
        <f>N81/(N81+L81)</f>
        <v>0.9049369393673703</v>
      </c>
      <c r="D28" s="146">
        <f>B37</f>
        <v>0.34700606854296501</v>
      </c>
      <c r="E28" s="146">
        <f>B37</f>
        <v>0.34700606854296501</v>
      </c>
      <c r="F28" s="146">
        <f>ABS((K81/(G72+I72)))</f>
        <v>1.546738399462004E-2</v>
      </c>
      <c r="G28" s="147">
        <f>(G72+I72)/B72</f>
        <v>1.7694797467751915E-2</v>
      </c>
      <c r="H28" s="192"/>
      <c r="I28" s="201">
        <f>J28/K28</f>
        <v>2.6909837119839106</v>
      </c>
      <c r="J28" s="146">
        <f>B81</f>
        <v>230141</v>
      </c>
      <c r="K28" s="147">
        <f>(B72+G72)+I72</f>
        <v>85523</v>
      </c>
      <c r="L28" s="198"/>
      <c r="M28" s="204">
        <f t="shared" si="10"/>
        <v>72341</v>
      </c>
      <c r="N28" s="200"/>
      <c r="O28" s="118"/>
      <c r="P28" s="118"/>
      <c r="R28" s="33"/>
      <c r="S28" s="33"/>
    </row>
    <row r="29" spans="1:19" ht="12.75" customHeight="1" x14ac:dyDescent="0.2">
      <c r="A29" s="127"/>
      <c r="B29" s="165"/>
      <c r="C29" s="165"/>
      <c r="D29" s="165"/>
      <c r="E29" s="165"/>
      <c r="F29" s="165"/>
      <c r="G29" s="165"/>
      <c r="H29" s="120"/>
      <c r="I29" s="165"/>
      <c r="J29" s="165"/>
      <c r="K29" s="165"/>
      <c r="L29" s="120"/>
      <c r="M29" s="165"/>
      <c r="N29" s="120"/>
      <c r="O29" s="118"/>
      <c r="P29" s="118"/>
    </row>
    <row r="30" spans="1:19" ht="12.75" customHeight="1" x14ac:dyDescent="0.2">
      <c r="A30" s="196" t="s">
        <v>38</v>
      </c>
      <c r="B30" s="120"/>
      <c r="C30" s="120" t="s">
        <v>11</v>
      </c>
      <c r="D30" s="120"/>
      <c r="E30" s="120"/>
      <c r="F30" s="202" t="s">
        <v>39</v>
      </c>
      <c r="G30" s="120"/>
      <c r="H30" s="120"/>
      <c r="I30" s="120"/>
      <c r="J30" s="120"/>
      <c r="K30" s="120"/>
      <c r="L30" s="120"/>
      <c r="M30" s="120"/>
      <c r="N30" s="120"/>
      <c r="O30" s="118"/>
      <c r="P30" s="118"/>
    </row>
    <row r="31" spans="1:19" ht="12.75" customHeight="1" x14ac:dyDescent="0.2">
      <c r="A31" s="197" t="s">
        <v>4</v>
      </c>
      <c r="B31" s="146" t="s">
        <v>40</v>
      </c>
      <c r="C31" s="146" t="s">
        <v>41</v>
      </c>
      <c r="D31" s="146" t="s">
        <v>42</v>
      </c>
      <c r="E31" s="120"/>
      <c r="F31" s="146" t="s">
        <v>43</v>
      </c>
      <c r="G31" s="146" t="s">
        <v>44</v>
      </c>
      <c r="H31" s="146" t="s">
        <v>45</v>
      </c>
      <c r="I31" s="146" t="s">
        <v>46</v>
      </c>
      <c r="J31" s="146" t="s">
        <v>47</v>
      </c>
      <c r="K31" s="146" t="s">
        <v>48</v>
      </c>
      <c r="L31" s="146" t="s">
        <v>49</v>
      </c>
      <c r="M31" s="146" t="s">
        <v>50</v>
      </c>
      <c r="N31" s="146" t="s">
        <v>51</v>
      </c>
      <c r="O31" s="118"/>
      <c r="P31" s="118"/>
    </row>
    <row r="32" spans="1:19" ht="12.75" customHeight="1" x14ac:dyDescent="0.2">
      <c r="A32" s="170">
        <v>2007</v>
      </c>
      <c r="B32" s="165"/>
      <c r="C32" s="165"/>
      <c r="D32" s="166"/>
      <c r="E32" s="198"/>
      <c r="F32" s="199">
        <f t="shared" ref="F32:F37" si="11">SUM(G32:N32)</f>
        <v>4.1504800628006722</v>
      </c>
      <c r="G32" s="165">
        <f t="shared" ref="G32:G37" si="12">B76/(B76/100)</f>
        <v>100</v>
      </c>
      <c r="H32" s="165">
        <f t="shared" ref="H32:H37" si="13">-((C76-D76)-N68)/(B76/100)</f>
        <v>-86.489804955616833</v>
      </c>
      <c r="I32" s="165">
        <f t="shared" ref="I32:I37" si="14">-(E76-F76)/(B76/100)</f>
        <v>0</v>
      </c>
      <c r="J32" s="165">
        <f t="shared" ref="J32:J37" si="15">-(G76-H76)/(B76/100)</f>
        <v>-4.9287789429896067</v>
      </c>
      <c r="K32" s="165">
        <f t="shared" ref="K32:K37" si="16">-N68/(B76/100)</f>
        <v>0</v>
      </c>
      <c r="L32" s="165">
        <f t="shared" ref="L32:L37" si="17">-((D76+F76)+H76)/(B76/100)</f>
        <v>-5.6929879296578836</v>
      </c>
      <c r="M32" s="165">
        <f t="shared" ref="M32:M37" si="18">J76/(B76/100)</f>
        <v>1.4760840831169528E-2</v>
      </c>
      <c r="N32" s="166">
        <f t="shared" ref="N32:N37" si="19">I76/(B76/100)</f>
        <v>1.247291050233825</v>
      </c>
      <c r="O32" s="125"/>
      <c r="P32" s="118"/>
    </row>
    <row r="33" spans="1:20" ht="12.75" customHeight="1" x14ac:dyDescent="0.2">
      <c r="A33" s="125">
        <v>2008</v>
      </c>
      <c r="B33" s="120">
        <f>C33*D33</f>
        <v>0.14167576653620112</v>
      </c>
      <c r="C33" s="120">
        <f>H51</f>
        <v>8.7841281674819138E-2</v>
      </c>
      <c r="D33" s="122">
        <f>I24</f>
        <v>1.6128608762867624</v>
      </c>
      <c r="E33" s="198"/>
      <c r="F33" s="200">
        <f t="shared" si="11"/>
        <v>8.7841281674819101</v>
      </c>
      <c r="G33" s="120">
        <f t="shared" si="12"/>
        <v>100</v>
      </c>
      <c r="H33" s="120">
        <f t="shared" si="13"/>
        <v>-93.657048526849906</v>
      </c>
      <c r="I33" s="120">
        <f t="shared" si="14"/>
        <v>0</v>
      </c>
      <c r="J33" s="120">
        <f t="shared" si="15"/>
        <v>-5.9656303013244276</v>
      </c>
      <c r="K33" s="120">
        <f t="shared" si="16"/>
        <v>0</v>
      </c>
      <c r="L33" s="120">
        <f t="shared" si="17"/>
        <v>-5.302275337953489</v>
      </c>
      <c r="M33" s="120">
        <f t="shared" si="18"/>
        <v>12.552014788555606</v>
      </c>
      <c r="N33" s="122">
        <f t="shared" si="19"/>
        <v>1.1570675450541259</v>
      </c>
      <c r="O33" s="125"/>
      <c r="P33" s="118"/>
    </row>
    <row r="34" spans="1:20" ht="12.75" customHeight="1" x14ac:dyDescent="0.2">
      <c r="A34" s="125">
        <v>2009</v>
      </c>
      <c r="B34" s="120">
        <f>C34*D34</f>
        <v>0.25893716137525952</v>
      </c>
      <c r="C34" s="120">
        <f>H52</f>
        <v>0.1373132124108857</v>
      </c>
      <c r="D34" s="122">
        <f>I25</f>
        <v>1.885741050179756</v>
      </c>
      <c r="E34" s="198"/>
      <c r="F34" s="200">
        <f t="shared" si="11"/>
        <v>13.731321241088569</v>
      </c>
      <c r="G34" s="120">
        <f t="shared" si="12"/>
        <v>100</v>
      </c>
      <c r="H34" s="120">
        <f t="shared" si="13"/>
        <v>-76.846394479277151</v>
      </c>
      <c r="I34" s="120">
        <f t="shared" si="14"/>
        <v>0</v>
      </c>
      <c r="J34" s="120">
        <f t="shared" si="15"/>
        <v>-5.4596350845159298</v>
      </c>
      <c r="K34" s="120">
        <f t="shared" si="16"/>
        <v>0</v>
      </c>
      <c r="L34" s="120">
        <f t="shared" si="17"/>
        <v>-4.0915376663131182</v>
      </c>
      <c r="M34" s="120">
        <f t="shared" si="18"/>
        <v>0.47527623753071169</v>
      </c>
      <c r="N34" s="122">
        <f t="shared" si="19"/>
        <v>-0.34638776633594243</v>
      </c>
      <c r="O34" s="125"/>
      <c r="P34" s="118"/>
    </row>
    <row r="35" spans="1:20" ht="12.75" customHeight="1" x14ac:dyDescent="0.2">
      <c r="A35" s="125">
        <v>2010</v>
      </c>
      <c r="B35" s="120">
        <f>C35*D35</f>
        <v>0.5933352210384738</v>
      </c>
      <c r="C35" s="120">
        <f>H53</f>
        <v>0.17000314379303699</v>
      </c>
      <c r="D35" s="122">
        <f>I26</f>
        <v>3.490142639719676</v>
      </c>
      <c r="E35" s="198"/>
      <c r="F35" s="200">
        <f t="shared" si="11"/>
        <v>17.00031437930371</v>
      </c>
      <c r="G35" s="120">
        <f t="shared" si="12"/>
        <v>100</v>
      </c>
      <c r="H35" s="120">
        <f t="shared" si="13"/>
        <v>-75.946940886549626</v>
      </c>
      <c r="I35" s="120">
        <f t="shared" si="14"/>
        <v>0</v>
      </c>
      <c r="J35" s="120">
        <f t="shared" si="15"/>
        <v>-4.889612299329662</v>
      </c>
      <c r="K35" s="120">
        <f t="shared" si="16"/>
        <v>0</v>
      </c>
      <c r="L35" s="120">
        <f t="shared" si="17"/>
        <v>-3.2497692861561549</v>
      </c>
      <c r="M35" s="120">
        <f t="shared" si="18"/>
        <v>0.86302189499731252</v>
      </c>
      <c r="N35" s="122">
        <f t="shared" si="19"/>
        <v>0.22361495634184184</v>
      </c>
      <c r="O35" s="125"/>
      <c r="P35" s="118"/>
    </row>
    <row r="36" spans="1:20" ht="12.75" customHeight="1" x14ac:dyDescent="0.2">
      <c r="A36" s="125">
        <v>2011</v>
      </c>
      <c r="B36" s="120">
        <f>C36*D36</f>
        <v>0.3949148884855101</v>
      </c>
      <c r="C36" s="120">
        <f>H54</f>
        <v>0.13051668009128742</v>
      </c>
      <c r="D36" s="122">
        <f>I27</f>
        <v>3.0257809822414603</v>
      </c>
      <c r="E36" s="198"/>
      <c r="F36" s="200">
        <f t="shared" si="11"/>
        <v>13.051668009128734</v>
      </c>
      <c r="G36" s="120">
        <f t="shared" si="12"/>
        <v>100</v>
      </c>
      <c r="H36" s="120">
        <f t="shared" si="13"/>
        <v>-79.948231306215604</v>
      </c>
      <c r="I36" s="120">
        <f t="shared" si="14"/>
        <v>0</v>
      </c>
      <c r="J36" s="120">
        <f t="shared" si="15"/>
        <v>-5.1063901194791255</v>
      </c>
      <c r="K36" s="120">
        <f t="shared" si="16"/>
        <v>0</v>
      </c>
      <c r="L36" s="120">
        <f t="shared" si="17"/>
        <v>-2.7453349442878241</v>
      </c>
      <c r="M36" s="120">
        <f t="shared" si="18"/>
        <v>0.58648811921063237</v>
      </c>
      <c r="N36" s="122">
        <f t="shared" si="19"/>
        <v>0.26513625990065781</v>
      </c>
      <c r="O36" s="125"/>
      <c r="P36" s="118"/>
    </row>
    <row r="37" spans="1:20" ht="12.75" customHeight="1" x14ac:dyDescent="0.2">
      <c r="A37" s="171">
        <v>2012</v>
      </c>
      <c r="B37" s="146">
        <f>C37*D37</f>
        <v>0.34700606854296501</v>
      </c>
      <c r="C37" s="146">
        <f>H55</f>
        <v>0.12895138197887382</v>
      </c>
      <c r="D37" s="147">
        <f>I28</f>
        <v>2.6909837119839106</v>
      </c>
      <c r="E37" s="198"/>
      <c r="F37" s="201">
        <f t="shared" si="11"/>
        <v>12.89513819788738</v>
      </c>
      <c r="G37" s="146">
        <f t="shared" si="12"/>
        <v>100</v>
      </c>
      <c r="H37" s="146">
        <f t="shared" si="13"/>
        <v>-78.938563750048885</v>
      </c>
      <c r="I37" s="146">
        <f t="shared" si="14"/>
        <v>0</v>
      </c>
      <c r="J37" s="146">
        <f t="shared" si="15"/>
        <v>-6.3048305169439605</v>
      </c>
      <c r="K37" s="146">
        <f t="shared" si="16"/>
        <v>0</v>
      </c>
      <c r="L37" s="146">
        <f t="shared" si="17"/>
        <v>-2.3411734545343941</v>
      </c>
      <c r="M37" s="146">
        <f t="shared" si="18"/>
        <v>0.20335359627358882</v>
      </c>
      <c r="N37" s="147">
        <f t="shared" si="19"/>
        <v>0.27635232314103098</v>
      </c>
      <c r="O37" s="125"/>
      <c r="P37" s="118"/>
    </row>
    <row r="38" spans="1:20" ht="12.75" customHeight="1" x14ac:dyDescent="0.2">
      <c r="A38" s="127"/>
      <c r="B38" s="165"/>
      <c r="C38" s="165"/>
      <c r="D38" s="165"/>
      <c r="E38" s="120"/>
      <c r="F38" s="165"/>
      <c r="G38" s="165"/>
      <c r="H38" s="165"/>
      <c r="I38" s="165"/>
      <c r="J38" s="165"/>
      <c r="K38" s="165"/>
      <c r="L38" s="165"/>
      <c r="M38" s="165"/>
      <c r="N38" s="165"/>
      <c r="O38" s="118"/>
      <c r="P38" s="118"/>
    </row>
    <row r="39" spans="1:20" ht="12.75" customHeight="1" x14ac:dyDescent="0.2">
      <c r="A39" s="196" t="s">
        <v>52</v>
      </c>
      <c r="B39" s="120"/>
      <c r="C39" s="120" t="s">
        <v>53</v>
      </c>
      <c r="D39" s="120"/>
      <c r="E39" s="120"/>
      <c r="F39" s="202" t="s">
        <v>54</v>
      </c>
      <c r="G39" s="120"/>
      <c r="H39" s="120" t="s">
        <v>53</v>
      </c>
      <c r="I39" s="120"/>
      <c r="J39" s="120"/>
      <c r="K39" s="202" t="s">
        <v>55</v>
      </c>
      <c r="L39" s="120"/>
      <c r="M39" s="120"/>
      <c r="N39" s="120" t="s">
        <v>56</v>
      </c>
      <c r="O39" s="118"/>
      <c r="P39" s="118"/>
    </row>
    <row r="40" spans="1:20" ht="12.75" customHeight="1" x14ac:dyDescent="0.2">
      <c r="A40" s="197" t="s">
        <v>4</v>
      </c>
      <c r="B40" s="146" t="s">
        <v>57</v>
      </c>
      <c r="C40" s="146" t="s">
        <v>58</v>
      </c>
      <c r="D40" s="146" t="s">
        <v>59</v>
      </c>
      <c r="E40" s="120"/>
      <c r="F40" s="146" t="s">
        <v>60</v>
      </c>
      <c r="G40" s="146" t="s">
        <v>61</v>
      </c>
      <c r="H40" s="146" t="s">
        <v>62</v>
      </c>
      <c r="I40" s="146" t="s">
        <v>63</v>
      </c>
      <c r="J40" s="120"/>
      <c r="K40" s="146" t="s">
        <v>64</v>
      </c>
      <c r="L40" s="146" t="s">
        <v>65</v>
      </c>
      <c r="M40" s="146" t="s">
        <v>66</v>
      </c>
      <c r="N40" s="146" t="s">
        <v>67</v>
      </c>
      <c r="O40" s="118"/>
      <c r="P40" s="118"/>
    </row>
    <row r="41" spans="1:20" ht="12.75" customHeight="1" x14ac:dyDescent="0.2">
      <c r="A41" s="170">
        <v>2007</v>
      </c>
      <c r="B41" s="165">
        <f t="shared" ref="B41:B46" si="20">(G68+I68)/(B60/100)</f>
        <v>53.351495374666946</v>
      </c>
      <c r="C41" s="165">
        <f t="shared" ref="C41:C46" si="21">B68/(B60/100)</f>
        <v>27.981518626071509</v>
      </c>
      <c r="D41" s="166">
        <f t="shared" ref="D41:D46" si="22">B60/B68</f>
        <v>3.5737874465049928</v>
      </c>
      <c r="E41" s="198"/>
      <c r="F41" s="199">
        <f t="shared" ref="F41:F46" si="23">M68/(B76/100)</f>
        <v>5.6178418308810203</v>
      </c>
      <c r="G41" s="165">
        <f t="shared" ref="G41:G46" si="24">F60/(B76/100)</f>
        <v>7.4891138798870118</v>
      </c>
      <c r="H41" s="165">
        <f t="shared" ref="H41:H46" si="25">E60/(B76/100)</f>
        <v>7.7742664868527873</v>
      </c>
      <c r="I41" s="166">
        <f t="shared" ref="I41:I46" si="26">(J68)/(B76/100)</f>
        <v>9.3087229859839109</v>
      </c>
      <c r="J41" s="198"/>
      <c r="K41" s="199"/>
      <c r="L41" s="165"/>
      <c r="M41" s="165"/>
      <c r="N41" s="166"/>
      <c r="O41" s="125"/>
      <c r="P41" s="118"/>
    </row>
    <row r="42" spans="1:20" ht="12.75" customHeight="1" x14ac:dyDescent="0.2">
      <c r="A42" s="125">
        <v>2008</v>
      </c>
      <c r="B42" s="120">
        <f t="shared" si="20"/>
        <v>44.262311598291291</v>
      </c>
      <c r="C42" s="120">
        <f t="shared" si="21"/>
        <v>35.325824131538653</v>
      </c>
      <c r="D42" s="122">
        <f t="shared" si="22"/>
        <v>2.8307902917605454</v>
      </c>
      <c r="E42" s="198"/>
      <c r="F42" s="200">
        <f t="shared" si="23"/>
        <v>26.779913733425637</v>
      </c>
      <c r="G42" s="120">
        <f t="shared" si="24"/>
        <v>8.0135105322815008</v>
      </c>
      <c r="H42" s="120">
        <f t="shared" si="25"/>
        <v>9.4839980829650141</v>
      </c>
      <c r="I42" s="122">
        <f t="shared" si="26"/>
        <v>11.74031783222901</v>
      </c>
      <c r="J42" s="198"/>
      <c r="K42" s="200">
        <f>((F60+F61)/2)/(B77/365)</f>
        <v>30.121183997322238</v>
      </c>
      <c r="L42" s="120">
        <f>((E60+E61)/2)/((C77-D77)/365)</f>
        <v>35.656540632741745</v>
      </c>
      <c r="M42" s="120">
        <f>((J68+J69)/2)/((((C77-D77)+E61)-E60)/365)</f>
        <v>43.135025605871206</v>
      </c>
      <c r="N42" s="122">
        <f>(K42+L42)-M42</f>
        <v>22.64269902419278</v>
      </c>
      <c r="O42" s="125"/>
      <c r="P42" s="118"/>
    </row>
    <row r="43" spans="1:20" ht="12.75" customHeight="1" x14ac:dyDescent="0.2">
      <c r="A43" s="125">
        <v>2009</v>
      </c>
      <c r="B43" s="120">
        <f t="shared" si="20"/>
        <v>14.864726246954739</v>
      </c>
      <c r="C43" s="120">
        <f t="shared" si="21"/>
        <v>57.588152327221444</v>
      </c>
      <c r="D43" s="122">
        <f t="shared" si="22"/>
        <v>1.736468283125153</v>
      </c>
      <c r="E43" s="198"/>
      <c r="F43" s="200">
        <f t="shared" si="23"/>
        <v>14.99671065880805</v>
      </c>
      <c r="G43" s="120">
        <f t="shared" si="24"/>
        <v>8.190459567955104</v>
      </c>
      <c r="H43" s="120">
        <f t="shared" si="25"/>
        <v>9.4014741618892899</v>
      </c>
      <c r="I43" s="122">
        <f t="shared" si="26"/>
        <v>10.657465461917484</v>
      </c>
      <c r="J43" s="198"/>
      <c r="K43" s="200">
        <f>((F61+F62)/2)/(B78/365)</f>
        <v>27.852916101660782</v>
      </c>
      <c r="L43" s="120">
        <f>((E61+E62)/2)/((C78-D78)/365)</f>
        <v>42.202576981873776</v>
      </c>
      <c r="M43" s="120">
        <f>((J69+J70)/2)/((((C78-D78)+E62)-E61)/365)</f>
        <v>49.252174325291129</v>
      </c>
      <c r="N43" s="122">
        <f>(K43+L43)-M43</f>
        <v>20.803318758243428</v>
      </c>
      <c r="O43" s="125"/>
      <c r="P43" s="118"/>
    </row>
    <row r="44" spans="1:20" ht="12.75" customHeight="1" x14ac:dyDescent="0.2">
      <c r="A44" s="125">
        <v>2010</v>
      </c>
      <c r="B44" s="120">
        <f t="shared" si="20"/>
        <v>5.5271944590082507</v>
      </c>
      <c r="C44" s="120">
        <f t="shared" si="21"/>
        <v>66.935253916130861</v>
      </c>
      <c r="D44" s="122">
        <f t="shared" si="22"/>
        <v>1.4939810361412671</v>
      </c>
      <c r="E44" s="198"/>
      <c r="F44" s="200">
        <f t="shared" si="23"/>
        <v>24.855740464672891</v>
      </c>
      <c r="G44" s="120">
        <f t="shared" si="24"/>
        <v>7.6723762004725824</v>
      </c>
      <c r="H44" s="120">
        <f t="shared" si="25"/>
        <v>9.8263814942144059</v>
      </c>
      <c r="I44" s="122">
        <f t="shared" si="26"/>
        <v>11.301428904641657</v>
      </c>
      <c r="J44" s="198"/>
      <c r="K44" s="200">
        <f>((F62+F63)/2)/(B79/365)</f>
        <v>25.292778403155964</v>
      </c>
      <c r="L44" s="120">
        <f>((E62+E63)/2)/((C79-D79)/365)</f>
        <v>40.677402555782557</v>
      </c>
      <c r="M44" s="120">
        <f>((J70+J71)/2)/((((C79-D79)+E63)-E62)/365)</f>
        <v>44.891010106218417</v>
      </c>
      <c r="N44" s="122">
        <f>(K44+L44)-M44</f>
        <v>21.079170852720111</v>
      </c>
      <c r="O44" s="125"/>
      <c r="P44" s="118"/>
    </row>
    <row r="45" spans="1:20" ht="12.75" customHeight="1" x14ac:dyDescent="0.2">
      <c r="A45" s="125">
        <v>2011</v>
      </c>
      <c r="B45" s="120">
        <f t="shared" si="20"/>
        <v>1.281222805248964</v>
      </c>
      <c r="C45" s="120">
        <f t="shared" si="21"/>
        <v>72.406751621991887</v>
      </c>
      <c r="D45" s="122">
        <f t="shared" si="22"/>
        <v>1.3810866771383692</v>
      </c>
      <c r="E45" s="198"/>
      <c r="F45" s="200">
        <f t="shared" si="23"/>
        <v>23.012736608940799</v>
      </c>
      <c r="G45" s="120">
        <f t="shared" si="24"/>
        <v>7.629379782521144</v>
      </c>
      <c r="H45" s="120">
        <f t="shared" si="25"/>
        <v>5.8720130218821325</v>
      </c>
      <c r="I45" s="122">
        <f t="shared" si="26"/>
        <v>9.3997516445160425</v>
      </c>
      <c r="J45" s="198"/>
      <c r="K45" s="200">
        <f>((F63+F64)/2)/(B80/365)</f>
        <v>25.508258239360988</v>
      </c>
      <c r="L45" s="120">
        <f>((E63+E64)/2)/((C80-D80)/365)</f>
        <v>31.962470680218924</v>
      </c>
      <c r="M45" s="120">
        <f>((J71+J72)/2)/((((C80-D80)+E64)-E63)/365)</f>
        <v>44.04502967238875</v>
      </c>
      <c r="N45" s="122">
        <f>(K45+L45)-M45</f>
        <v>13.425699247191162</v>
      </c>
      <c r="O45" s="125"/>
      <c r="P45" s="118"/>
    </row>
    <row r="46" spans="1:20" ht="12.75" customHeight="1" x14ac:dyDescent="0.2">
      <c r="A46" s="171">
        <v>2012</v>
      </c>
      <c r="B46" s="146">
        <f t="shared" si="20"/>
        <v>0.33806076972274957</v>
      </c>
      <c r="C46" s="146">
        <f t="shared" si="21"/>
        <v>73.102342060647899</v>
      </c>
      <c r="D46" s="147">
        <f t="shared" si="22"/>
        <v>1.3679452283079658</v>
      </c>
      <c r="E46" s="198"/>
      <c r="F46" s="201">
        <f t="shared" si="23"/>
        <v>13.910168114329911</v>
      </c>
      <c r="G46" s="146">
        <f t="shared" si="24"/>
        <v>5.3971261096458258</v>
      </c>
      <c r="H46" s="146">
        <f t="shared" si="25"/>
        <v>8.0024854328433452</v>
      </c>
      <c r="I46" s="147">
        <f t="shared" si="26"/>
        <v>7.468464984509497</v>
      </c>
      <c r="J46" s="198"/>
      <c r="K46" s="201">
        <f>((F64+F65)/2)/(B81/365)</f>
        <v>24.271109884809746</v>
      </c>
      <c r="L46" s="146">
        <f>((E64+E65)/2)/((C81-D81)/365)</f>
        <v>32.56209060384213</v>
      </c>
      <c r="M46" s="146">
        <f>((J72+J73)/2)/((((C81-D81)+E65)-E64)/365)</f>
        <v>38.830162824439789</v>
      </c>
      <c r="N46" s="147">
        <f>(K46+L46)-M46</f>
        <v>18.003037664212087</v>
      </c>
      <c r="O46" s="125"/>
      <c r="P46" s="118"/>
    </row>
    <row r="47" spans="1:20" ht="12.75" customHeight="1" x14ac:dyDescent="0.2">
      <c r="A47" s="127"/>
      <c r="B47" s="165"/>
      <c r="C47" s="165"/>
      <c r="D47" s="165"/>
      <c r="E47" s="120"/>
      <c r="F47" s="165"/>
      <c r="G47" s="165"/>
      <c r="H47" s="165"/>
      <c r="I47" s="165"/>
      <c r="J47" s="120"/>
      <c r="K47" s="165"/>
      <c r="L47" s="165"/>
      <c r="M47" s="165"/>
      <c r="N47" s="165"/>
      <c r="O47" s="118"/>
      <c r="P47" s="118"/>
    </row>
    <row r="48" spans="1:20" ht="12.75" customHeight="1" x14ac:dyDescent="0.2">
      <c r="A48" s="453" t="s">
        <v>68</v>
      </c>
      <c r="B48" s="453"/>
      <c r="C48" s="118"/>
      <c r="D48" s="118"/>
      <c r="E48" s="120"/>
      <c r="F48" s="120"/>
      <c r="G48" s="141" t="s">
        <v>69</v>
      </c>
      <c r="H48" s="120"/>
      <c r="I48" s="120"/>
      <c r="J48" s="120"/>
      <c r="K48" s="141" t="s">
        <v>70</v>
      </c>
      <c r="L48" s="120"/>
      <c r="M48" s="120"/>
      <c r="N48" s="120"/>
      <c r="O48" s="118"/>
      <c r="P48" s="118"/>
      <c r="Q48" s="68"/>
      <c r="R48" s="68"/>
      <c r="S48" s="68"/>
      <c r="T48" s="68"/>
    </row>
    <row r="49" spans="1:20" ht="12.75" customHeight="1" x14ac:dyDescent="0.2">
      <c r="A49" s="189" t="s">
        <v>4</v>
      </c>
      <c r="B49" s="167" t="s">
        <v>71</v>
      </c>
      <c r="C49" s="167" t="s">
        <v>72</v>
      </c>
      <c r="D49" s="167" t="s">
        <v>73</v>
      </c>
      <c r="E49" s="167" t="s">
        <v>74</v>
      </c>
      <c r="F49" s="120"/>
      <c r="G49" s="167" t="s">
        <v>75</v>
      </c>
      <c r="H49" s="167" t="s">
        <v>76</v>
      </c>
      <c r="I49" s="167" t="s">
        <v>77</v>
      </c>
      <c r="J49" s="120"/>
      <c r="K49" s="167" t="s">
        <v>78</v>
      </c>
      <c r="L49" s="167" t="s">
        <v>79</v>
      </c>
      <c r="M49" s="167" t="s">
        <v>80</v>
      </c>
      <c r="N49" s="167" t="s">
        <v>81</v>
      </c>
      <c r="O49" s="118"/>
      <c r="P49" s="118"/>
      <c r="Q49" s="68"/>
      <c r="R49" s="68"/>
      <c r="S49" s="68"/>
      <c r="T49" s="68"/>
    </row>
    <row r="50" spans="1:20" ht="12.75" customHeight="1" x14ac:dyDescent="0.2">
      <c r="A50" s="156">
        <v>2007</v>
      </c>
      <c r="B50" s="190">
        <f t="shared" ref="B50:B55" si="27">C5/D5</f>
        <v>1.5108822560847828</v>
      </c>
      <c r="C50" s="190">
        <f t="shared" ref="C50:C55" si="28">C5/B5</f>
        <v>184.41412911084043</v>
      </c>
      <c r="D50" s="190">
        <f t="shared" ref="D50:D55" si="29">D5/B5</f>
        <v>122.05724725943971</v>
      </c>
      <c r="E50" s="191">
        <f t="shared" ref="E50:E55" si="30">N76/B5</f>
        <v>2.1912302070645553</v>
      </c>
      <c r="F50" s="192"/>
      <c r="G50" s="193">
        <f t="shared" ref="G50:G55" si="31">(((M76+D76)+F76)+H76)/B76</f>
        <v>9.8434679924585516E-2</v>
      </c>
      <c r="H50" s="190">
        <f t="shared" ref="H50:H55" si="32">M76/B76</f>
        <v>4.1504800628006683E-2</v>
      </c>
      <c r="I50" s="191">
        <f t="shared" ref="I50:I55" si="33">N76/B76</f>
        <v>1.2070342116033628E-2</v>
      </c>
      <c r="J50" s="192"/>
      <c r="K50" s="193">
        <f t="shared" ref="K50:K55" si="34">C84/E84</f>
        <v>5.1954063604240286</v>
      </c>
      <c r="L50" s="190">
        <f t="shared" ref="L50:L55" si="35">D84/E84</f>
        <v>6.1090694935217904</v>
      </c>
      <c r="M50" s="190">
        <f t="shared" ref="M50:M55" si="36">F84/E84</f>
        <v>0.11837455830388692</v>
      </c>
      <c r="N50" s="191">
        <f t="shared" ref="N50:N55" si="37">(F84-E84)/B76</f>
        <v>-5.0220406191501782E-2</v>
      </c>
      <c r="O50" s="126"/>
      <c r="P50" s="118"/>
      <c r="Q50" s="68"/>
      <c r="R50" s="68"/>
      <c r="S50" s="68"/>
      <c r="T50" s="68"/>
    </row>
    <row r="51" spans="1:20" ht="12.75" customHeight="1" x14ac:dyDescent="0.2">
      <c r="A51" s="126">
        <v>2008</v>
      </c>
      <c r="B51" s="120">
        <f t="shared" si="27"/>
        <v>1.3855384057386959</v>
      </c>
      <c r="C51" s="120">
        <f t="shared" si="28"/>
        <v>245.13903743315507</v>
      </c>
      <c r="D51" s="120">
        <f t="shared" si="29"/>
        <v>176.92691622103388</v>
      </c>
      <c r="E51" s="121">
        <f t="shared" si="30"/>
        <v>12.251336898395722</v>
      </c>
      <c r="F51" s="192"/>
      <c r="G51" s="194">
        <f t="shared" si="31"/>
        <v>0.14086403505435402</v>
      </c>
      <c r="H51" s="120">
        <f t="shared" si="32"/>
        <v>8.7841281674819138E-2</v>
      </c>
      <c r="I51" s="121">
        <f t="shared" si="33"/>
        <v>5.2284847055601623E-2</v>
      </c>
      <c r="J51" s="192"/>
      <c r="K51" s="194">
        <f t="shared" si="34"/>
        <v>7.1651625841569979</v>
      </c>
      <c r="L51" s="120">
        <f t="shared" si="35"/>
        <v>6.5189800888124907</v>
      </c>
      <c r="M51" s="120">
        <f t="shared" si="36"/>
        <v>0.16487609225039393</v>
      </c>
      <c r="N51" s="121">
        <f t="shared" si="37"/>
        <v>-4.4350452252896473E-2</v>
      </c>
      <c r="O51" s="126"/>
      <c r="P51" s="118"/>
      <c r="Q51" s="68"/>
      <c r="R51" s="68"/>
      <c r="S51" s="68"/>
      <c r="T51" s="68"/>
    </row>
    <row r="52" spans="1:20" ht="12.75" customHeight="1" x14ac:dyDescent="0.2">
      <c r="A52" s="126">
        <v>2009</v>
      </c>
      <c r="B52" s="120">
        <f t="shared" si="27"/>
        <v>1.9100653929991025</v>
      </c>
      <c r="C52" s="120">
        <f t="shared" si="28"/>
        <v>337.02714932126696</v>
      </c>
      <c r="D52" s="120">
        <f t="shared" si="29"/>
        <v>176.44796380090497</v>
      </c>
      <c r="E52" s="121">
        <f t="shared" si="30"/>
        <v>35.271493212669682</v>
      </c>
      <c r="F52" s="192"/>
      <c r="G52" s="194">
        <f t="shared" si="31"/>
        <v>0.1782285890740169</v>
      </c>
      <c r="H52" s="120">
        <f t="shared" si="32"/>
        <v>0.1373132124108857</v>
      </c>
      <c r="I52" s="121">
        <f t="shared" si="33"/>
        <v>0.10465475343366942</v>
      </c>
      <c r="J52" s="192"/>
      <c r="K52" s="194">
        <f t="shared" si="34"/>
        <v>8.4720568783068781</v>
      </c>
      <c r="L52" s="120">
        <f t="shared" si="35"/>
        <v>5.6311177248677247</v>
      </c>
      <c r="M52" s="120">
        <f t="shared" si="36"/>
        <v>0.36408730158730157</v>
      </c>
      <c r="N52" s="121">
        <f t="shared" si="37"/>
        <v>-2.5817971886202221E-2</v>
      </c>
      <c r="O52" s="126"/>
      <c r="P52" s="118"/>
      <c r="Q52" s="68"/>
      <c r="R52" s="68"/>
      <c r="S52" s="68"/>
      <c r="T52" s="68"/>
    </row>
    <row r="53" spans="1:20" ht="12.75" customHeight="1" x14ac:dyDescent="0.2">
      <c r="A53" s="126">
        <v>2010</v>
      </c>
      <c r="B53" s="120">
        <f t="shared" si="27"/>
        <v>1.8140125279395127</v>
      </c>
      <c r="C53" s="120">
        <f t="shared" si="28"/>
        <v>476.36231884057969</v>
      </c>
      <c r="D53" s="120">
        <f t="shared" si="29"/>
        <v>262.60144927536231</v>
      </c>
      <c r="E53" s="121">
        <f t="shared" si="30"/>
        <v>67.287439613526573</v>
      </c>
      <c r="F53" s="192"/>
      <c r="G53" s="194">
        <f t="shared" si="31"/>
        <v>0.20250083665459856</v>
      </c>
      <c r="H53" s="120">
        <f t="shared" si="32"/>
        <v>0.17000314379303699</v>
      </c>
      <c r="I53" s="121">
        <f t="shared" si="33"/>
        <v>0.14125264940622875</v>
      </c>
      <c r="J53" s="192"/>
      <c r="K53" s="194">
        <f t="shared" si="34"/>
        <v>8.8484115465247548</v>
      </c>
      <c r="L53" s="120">
        <f t="shared" si="35"/>
        <v>4.8229317851959363</v>
      </c>
      <c r="M53" s="120">
        <f t="shared" si="36"/>
        <v>0.36832768908240604</v>
      </c>
      <c r="N53" s="121">
        <f t="shared" si="37"/>
        <v>-1.9861673106371758E-2</v>
      </c>
      <c r="O53" s="126"/>
      <c r="P53" s="118"/>
      <c r="Q53" s="68"/>
      <c r="R53" s="68"/>
      <c r="S53" s="68"/>
      <c r="T53" s="68"/>
    </row>
    <row r="54" spans="1:20" ht="12.75" customHeight="1" x14ac:dyDescent="0.2">
      <c r="A54" s="126">
        <v>2011</v>
      </c>
      <c r="B54" s="120">
        <f t="shared" si="27"/>
        <v>2.053816527515703</v>
      </c>
      <c r="C54" s="120">
        <f t="shared" si="28"/>
        <v>535.65842696629215</v>
      </c>
      <c r="D54" s="120">
        <f t="shared" si="29"/>
        <v>260.81123595505619</v>
      </c>
      <c r="E54" s="121">
        <f t="shared" si="30"/>
        <v>60.249438202247191</v>
      </c>
      <c r="F54" s="192"/>
      <c r="G54" s="194">
        <f t="shared" si="31"/>
        <v>0.15797002953416567</v>
      </c>
      <c r="H54" s="120">
        <f t="shared" si="32"/>
        <v>0.13051668009128742</v>
      </c>
      <c r="I54" s="121">
        <f t="shared" si="33"/>
        <v>0.11247734595247684</v>
      </c>
      <c r="J54" s="192"/>
      <c r="K54" s="194">
        <f t="shared" si="34"/>
        <v>9.4976781425140118</v>
      </c>
      <c r="L54" s="120">
        <f t="shared" si="35"/>
        <v>4.7298638911128901</v>
      </c>
      <c r="M54" s="120">
        <f t="shared" si="36"/>
        <v>0.93562850280224175</v>
      </c>
      <c r="N54" s="121">
        <f t="shared" si="37"/>
        <v>-1.6864679822795007E-3</v>
      </c>
      <c r="O54" s="126"/>
      <c r="P54" s="118"/>
      <c r="Q54" s="68"/>
      <c r="R54" s="68"/>
      <c r="S54" s="68"/>
      <c r="T54" s="68"/>
    </row>
    <row r="55" spans="1:20" ht="12.75" customHeight="1" x14ac:dyDescent="0.2">
      <c r="A55" s="157">
        <v>2012</v>
      </c>
      <c r="B55" s="167">
        <f t="shared" si="27"/>
        <v>2.336385693836736</v>
      </c>
      <c r="C55" s="167">
        <f t="shared" si="28"/>
        <v>538.97189695550355</v>
      </c>
      <c r="D55" s="167">
        <f t="shared" si="29"/>
        <v>230.68618266978922</v>
      </c>
      <c r="E55" s="168">
        <f t="shared" si="30"/>
        <v>62.84543325526932</v>
      </c>
      <c r="F55" s="192"/>
      <c r="G55" s="195">
        <f t="shared" si="31"/>
        <v>0.15236311652421777</v>
      </c>
      <c r="H55" s="167">
        <f t="shared" si="32"/>
        <v>0.12895138197887382</v>
      </c>
      <c r="I55" s="168">
        <f t="shared" si="33"/>
        <v>0.11660243068379819</v>
      </c>
      <c r="J55" s="192"/>
      <c r="K55" s="195">
        <f t="shared" si="34"/>
        <v>11.595478772284507</v>
      </c>
      <c r="L55" s="167">
        <f t="shared" si="35"/>
        <v>7.0946517184341111</v>
      </c>
      <c r="M55" s="167">
        <f t="shared" si="36"/>
        <v>2.6485940084543285</v>
      </c>
      <c r="N55" s="168">
        <f t="shared" si="37"/>
        <v>3.8976105952437855E-2</v>
      </c>
      <c r="O55" s="126"/>
      <c r="P55" s="118"/>
      <c r="Q55" s="68"/>
      <c r="R55" s="68"/>
      <c r="S55" s="68"/>
      <c r="T55" s="68"/>
    </row>
    <row r="56" spans="1:20" ht="12.75" customHeight="1" x14ac:dyDescent="0.2">
      <c r="A56" s="127"/>
      <c r="B56" s="127"/>
      <c r="C56" s="127"/>
      <c r="D56" s="127"/>
      <c r="E56" s="127"/>
      <c r="F56" s="118"/>
      <c r="G56" s="127"/>
      <c r="H56" s="127"/>
      <c r="I56" s="127"/>
      <c r="J56" s="118"/>
      <c r="K56" s="127"/>
      <c r="L56" s="127"/>
      <c r="M56" s="127"/>
      <c r="N56" s="127"/>
      <c r="O56" s="118"/>
      <c r="P56" s="118"/>
    </row>
    <row r="57" spans="1:20" ht="12.75" customHeight="1" x14ac:dyDescent="0.2">
      <c r="A57" s="118"/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</row>
    <row r="58" spans="1:20" ht="12.75" customHeight="1" x14ac:dyDescent="0.2">
      <c r="A58" s="205" t="s">
        <v>82</v>
      </c>
      <c r="B58" s="197"/>
      <c r="C58" s="197"/>
      <c r="D58" s="206"/>
      <c r="E58" s="206"/>
      <c r="F58" s="206"/>
      <c r="G58" s="206"/>
      <c r="H58" s="197" t="s">
        <v>83</v>
      </c>
      <c r="I58" s="197"/>
      <c r="J58" s="197"/>
      <c r="K58" s="197"/>
      <c r="L58" s="197"/>
      <c r="M58" s="197"/>
      <c r="N58" s="197"/>
      <c r="O58" s="118"/>
      <c r="P58" s="118"/>
    </row>
    <row r="59" spans="1:20" ht="12.75" customHeight="1" x14ac:dyDescent="0.2">
      <c r="A59" s="174" t="s">
        <v>4</v>
      </c>
      <c r="B59" s="174" t="s">
        <v>84</v>
      </c>
      <c r="C59" s="174" t="s">
        <v>85</v>
      </c>
      <c r="D59" s="174" t="s">
        <v>86</v>
      </c>
      <c r="E59" s="174" t="s">
        <v>87</v>
      </c>
      <c r="F59" s="174" t="s">
        <v>88</v>
      </c>
      <c r="G59" s="174" t="s">
        <v>89</v>
      </c>
      <c r="H59" s="174" t="s">
        <v>90</v>
      </c>
      <c r="I59" s="174" t="s">
        <v>91</v>
      </c>
      <c r="J59" s="127"/>
      <c r="K59" s="127"/>
      <c r="L59" s="174" t="s">
        <v>92</v>
      </c>
      <c r="M59" s="174" t="s">
        <v>93</v>
      </c>
      <c r="N59" s="174" t="s">
        <v>94</v>
      </c>
      <c r="O59" s="118"/>
      <c r="P59" s="118"/>
    </row>
    <row r="60" spans="1:20" ht="12.75" customHeight="1" x14ac:dyDescent="0.2">
      <c r="A60" s="170">
        <v>2007</v>
      </c>
      <c r="B60" s="127">
        <v>100209</v>
      </c>
      <c r="C60" s="142">
        <v>74869</v>
      </c>
      <c r="D60" s="142">
        <v>0</v>
      </c>
      <c r="E60" s="127">
        <v>11587</v>
      </c>
      <c r="F60" s="127">
        <v>11162</v>
      </c>
      <c r="G60" s="127">
        <v>2530</v>
      </c>
      <c r="H60" s="127">
        <v>0</v>
      </c>
      <c r="I60" s="207">
        <v>61</v>
      </c>
      <c r="J60" s="125"/>
      <c r="K60" s="143"/>
      <c r="L60" s="170">
        <v>0</v>
      </c>
      <c r="M60" s="127">
        <v>0</v>
      </c>
      <c r="N60" s="207">
        <v>0</v>
      </c>
      <c r="O60" s="125"/>
      <c r="P60" s="118"/>
    </row>
    <row r="61" spans="1:20" ht="12.75" customHeight="1" x14ac:dyDescent="0.2">
      <c r="A61" s="125">
        <v>2008</v>
      </c>
      <c r="B61" s="118">
        <v>99256</v>
      </c>
      <c r="C61" s="118">
        <v>45781</v>
      </c>
      <c r="D61" s="118">
        <v>0</v>
      </c>
      <c r="E61" s="118">
        <v>12467</v>
      </c>
      <c r="F61" s="118">
        <v>10534</v>
      </c>
      <c r="G61" s="118">
        <v>30456</v>
      </c>
      <c r="H61" s="118">
        <v>0</v>
      </c>
      <c r="I61" s="143">
        <v>18</v>
      </c>
      <c r="J61" s="125"/>
      <c r="K61" s="143"/>
      <c r="L61" s="125">
        <v>0</v>
      </c>
      <c r="M61" s="118">
        <v>0</v>
      </c>
      <c r="N61" s="143">
        <v>0</v>
      </c>
      <c r="O61" s="125"/>
      <c r="P61" s="118"/>
    </row>
    <row r="62" spans="1:20" ht="12.75" customHeight="1" x14ac:dyDescent="0.2">
      <c r="A62" s="125">
        <v>2009</v>
      </c>
      <c r="B62" s="118">
        <v>77990</v>
      </c>
      <c r="C62" s="118">
        <v>34329</v>
      </c>
      <c r="D62" s="118">
        <v>0</v>
      </c>
      <c r="E62" s="118">
        <v>14005</v>
      </c>
      <c r="F62" s="118">
        <v>12201</v>
      </c>
      <c r="G62" s="118">
        <v>17399</v>
      </c>
      <c r="H62" s="118">
        <v>0</v>
      </c>
      <c r="I62" s="143">
        <v>56</v>
      </c>
      <c r="J62" s="125"/>
      <c r="K62" s="143"/>
      <c r="L62" s="125">
        <v>0</v>
      </c>
      <c r="M62" s="118">
        <v>0</v>
      </c>
      <c r="N62" s="143">
        <v>0</v>
      </c>
      <c r="O62" s="125"/>
      <c r="P62" s="118"/>
    </row>
    <row r="63" spans="1:20" ht="12.75" customHeight="1" x14ac:dyDescent="0.2">
      <c r="A63" s="125">
        <v>2010</v>
      </c>
      <c r="B63" s="118">
        <v>108717</v>
      </c>
      <c r="C63" s="118">
        <v>30222</v>
      </c>
      <c r="D63" s="118">
        <v>0</v>
      </c>
      <c r="E63" s="118">
        <v>19379</v>
      </c>
      <c r="F63" s="118">
        <v>15131</v>
      </c>
      <c r="G63" s="118">
        <v>43640</v>
      </c>
      <c r="H63" s="118">
        <v>0</v>
      </c>
      <c r="I63" s="143">
        <v>345</v>
      </c>
      <c r="J63" s="125"/>
      <c r="K63" s="143"/>
      <c r="L63">
        <v>0</v>
      </c>
      <c r="M63" s="118">
        <v>0</v>
      </c>
      <c r="N63" s="143">
        <v>0</v>
      </c>
      <c r="O63" s="125"/>
      <c r="P63" s="118"/>
    </row>
    <row r="64" spans="1:20" ht="12.75" customHeight="1" x14ac:dyDescent="0.2">
      <c r="A64" s="125">
        <v>2011</v>
      </c>
      <c r="B64" s="118">
        <v>116061</v>
      </c>
      <c r="C64" s="118">
        <v>29759</v>
      </c>
      <c r="D64" s="118">
        <v>0</v>
      </c>
      <c r="E64" s="118">
        <v>13997</v>
      </c>
      <c r="F64" s="118">
        <v>18186</v>
      </c>
      <c r="G64" s="118">
        <f>70399-F64</f>
        <v>52213</v>
      </c>
      <c r="H64" s="118">
        <v>0</v>
      </c>
      <c r="I64" s="143">
        <v>1906</v>
      </c>
      <c r="J64" s="125"/>
      <c r="K64" s="143"/>
      <c r="L64" s="125">
        <v>15545</v>
      </c>
      <c r="M64" s="118">
        <v>0</v>
      </c>
      <c r="N64" s="143">
        <v>0</v>
      </c>
      <c r="O64" s="125"/>
      <c r="P64" s="118"/>
    </row>
    <row r="65" spans="1:16" ht="12.75" customHeight="1" x14ac:dyDescent="0.2">
      <c r="A65" s="171">
        <v>2012</v>
      </c>
      <c r="B65" s="197">
        <v>98503</v>
      </c>
      <c r="C65" s="189">
        <v>38830</v>
      </c>
      <c r="D65" s="189">
        <v>0</v>
      </c>
      <c r="E65" s="197">
        <v>18417</v>
      </c>
      <c r="F65" s="197">
        <v>12421</v>
      </c>
      <c r="G65" s="197">
        <f>38085-F65</f>
        <v>25664</v>
      </c>
      <c r="H65" s="197">
        <v>0</v>
      </c>
      <c r="I65" s="208">
        <v>3171</v>
      </c>
      <c r="J65" s="125"/>
      <c r="K65" s="143"/>
      <c r="L65" s="125">
        <v>38863</v>
      </c>
      <c r="M65" s="197">
        <v>0</v>
      </c>
      <c r="N65" s="208">
        <v>0</v>
      </c>
      <c r="O65" s="125"/>
      <c r="P65" s="118"/>
    </row>
    <row r="66" spans="1:16" ht="12.75" customHeight="1" x14ac:dyDescent="0.2">
      <c r="A66" s="127"/>
      <c r="B66" s="127"/>
      <c r="C66" s="209"/>
      <c r="D66" s="127"/>
      <c r="E66" s="209"/>
      <c r="F66" s="209"/>
      <c r="G66" s="209"/>
      <c r="H66" s="209"/>
      <c r="I66" s="209"/>
      <c r="J66" s="210"/>
      <c r="K66" s="210"/>
      <c r="L66" s="127"/>
      <c r="M66" s="127"/>
      <c r="N66" s="127"/>
      <c r="O66" s="118"/>
      <c r="P66" s="118"/>
    </row>
    <row r="67" spans="1:16" ht="12.75" customHeight="1" x14ac:dyDescent="0.2">
      <c r="A67" s="197" t="s">
        <v>4</v>
      </c>
      <c r="B67" s="197" t="s">
        <v>9</v>
      </c>
      <c r="C67" s="197" t="s">
        <v>95</v>
      </c>
      <c r="D67" s="197" t="s">
        <v>96</v>
      </c>
      <c r="E67" s="197" t="s">
        <v>97</v>
      </c>
      <c r="F67" s="197" t="s">
        <v>98</v>
      </c>
      <c r="G67" s="197" t="s">
        <v>99</v>
      </c>
      <c r="H67" s="197" t="s">
        <v>100</v>
      </c>
      <c r="I67" s="197" t="s">
        <v>101</v>
      </c>
      <c r="J67" s="197" t="s">
        <v>102</v>
      </c>
      <c r="K67" s="197" t="s">
        <v>103</v>
      </c>
      <c r="L67" s="118"/>
      <c r="M67" s="205" t="s">
        <v>104</v>
      </c>
      <c r="N67" s="197" t="s">
        <v>105</v>
      </c>
      <c r="O67" s="118"/>
      <c r="P67" s="118"/>
    </row>
    <row r="68" spans="1:16" ht="12.75" customHeight="1" x14ac:dyDescent="0.2">
      <c r="A68" s="170">
        <v>2007</v>
      </c>
      <c r="B68" s="127">
        <v>28040</v>
      </c>
      <c r="C68" s="127">
        <v>15545</v>
      </c>
      <c r="D68" s="127">
        <v>2917</v>
      </c>
      <c r="E68" s="127">
        <v>9578</v>
      </c>
      <c r="F68" s="127">
        <v>72169</v>
      </c>
      <c r="G68" s="127">
        <v>23358</v>
      </c>
      <c r="H68" s="127">
        <v>1800</v>
      </c>
      <c r="I68" s="127">
        <v>30105</v>
      </c>
      <c r="J68" s="127">
        <v>13874</v>
      </c>
      <c r="K68" s="207">
        <v>3032</v>
      </c>
      <c r="L68" s="211"/>
      <c r="M68" s="212">
        <f>(((E60+F60)+G60)-J68)-K68</f>
        <v>8373</v>
      </c>
      <c r="N68" s="207">
        <v>0</v>
      </c>
      <c r="O68" s="125"/>
      <c r="P68" s="118"/>
    </row>
    <row r="69" spans="1:16" ht="12.75" customHeight="1" x14ac:dyDescent="0.2">
      <c r="A69" s="125">
        <v>2008</v>
      </c>
      <c r="B69" s="118">
        <v>35063</v>
      </c>
      <c r="C69" s="118">
        <v>15545</v>
      </c>
      <c r="D69" s="118">
        <v>10084</v>
      </c>
      <c r="E69" s="118">
        <v>9434</v>
      </c>
      <c r="F69" s="118">
        <v>64193</v>
      </c>
      <c r="G69" s="118">
        <v>6261</v>
      </c>
      <c r="H69" s="118">
        <v>2006</v>
      </c>
      <c r="I69" s="118">
        <v>37672</v>
      </c>
      <c r="J69" s="118">
        <v>15433</v>
      </c>
      <c r="K69" s="143">
        <v>2821</v>
      </c>
      <c r="L69" s="211"/>
      <c r="M69" s="119">
        <f>(((E61+F61)+G61)-J69)-K69</f>
        <v>35203</v>
      </c>
      <c r="N69" s="143">
        <v>0</v>
      </c>
      <c r="O69" s="125"/>
      <c r="P69" s="118"/>
    </row>
    <row r="70" spans="1:16" ht="12.75" customHeight="1" x14ac:dyDescent="0.2">
      <c r="A70" s="125">
        <v>2009</v>
      </c>
      <c r="B70" s="118">
        <v>44913</v>
      </c>
      <c r="C70" s="118">
        <v>15545</v>
      </c>
      <c r="D70" s="118">
        <v>27814</v>
      </c>
      <c r="E70" s="118">
        <v>1554</v>
      </c>
      <c r="F70" s="118">
        <v>33077</v>
      </c>
      <c r="G70" s="118">
        <v>3843</v>
      </c>
      <c r="H70" s="118">
        <v>219</v>
      </c>
      <c r="I70" s="118">
        <v>7750</v>
      </c>
      <c r="J70" s="118">
        <v>15876</v>
      </c>
      <c r="K70" s="143">
        <v>5389</v>
      </c>
      <c r="L70" s="211"/>
      <c r="M70" s="119">
        <f t="shared" ref="M70:M73" si="38">(((E62+F62)+G62)-J70)-K70</f>
        <v>22340</v>
      </c>
      <c r="N70" s="143">
        <v>0</v>
      </c>
      <c r="O70" s="125"/>
      <c r="P70" s="118"/>
    </row>
    <row r="71" spans="1:16" ht="12.75" customHeight="1" x14ac:dyDescent="0.2">
      <c r="A71" s="125">
        <v>2010</v>
      </c>
      <c r="B71" s="118">
        <v>72770</v>
      </c>
      <c r="C71" s="118">
        <v>15545</v>
      </c>
      <c r="D71" s="118">
        <v>30671</v>
      </c>
      <c r="E71" s="118">
        <v>26554</v>
      </c>
      <c r="F71" s="118">
        <v>35947</v>
      </c>
      <c r="G71" s="118">
        <v>3469</v>
      </c>
      <c r="H71" s="118">
        <v>807</v>
      </c>
      <c r="I71" s="118">
        <v>2540</v>
      </c>
      <c r="J71" s="118">
        <v>22288</v>
      </c>
      <c r="K71" s="143">
        <v>6843</v>
      </c>
      <c r="L71" s="211"/>
      <c r="M71" s="119">
        <f t="shared" si="38"/>
        <v>49019</v>
      </c>
      <c r="N71" s="143">
        <v>0</v>
      </c>
      <c r="O71" s="125"/>
      <c r="P71" s="118"/>
    </row>
    <row r="72" spans="1:16" ht="12.75" customHeight="1" x14ac:dyDescent="0.2">
      <c r="A72" s="125">
        <v>2011</v>
      </c>
      <c r="B72" s="118">
        <v>84036</v>
      </c>
      <c r="C72" s="118">
        <v>15545</v>
      </c>
      <c r="D72" s="118">
        <v>41937</v>
      </c>
      <c r="E72" s="118">
        <v>26554</v>
      </c>
      <c r="F72" s="118">
        <v>32025</v>
      </c>
      <c r="G72" s="118">
        <v>197</v>
      </c>
      <c r="H72" s="118">
        <v>997</v>
      </c>
      <c r="I72" s="118">
        <v>1290</v>
      </c>
      <c r="J72" s="118">
        <v>22406</v>
      </c>
      <c r="K72" s="143">
        <v>7135</v>
      </c>
      <c r="L72" s="211"/>
      <c r="M72" s="119">
        <f t="shared" si="38"/>
        <v>54855</v>
      </c>
      <c r="N72" s="143">
        <v>0</v>
      </c>
      <c r="O72" s="125"/>
      <c r="P72" s="118"/>
    </row>
    <row r="73" spans="1:16" ht="12.75" customHeight="1" x14ac:dyDescent="0.2">
      <c r="A73" s="171">
        <v>2012</v>
      </c>
      <c r="B73" s="197">
        <v>72008</v>
      </c>
      <c r="C73" s="197">
        <v>15545</v>
      </c>
      <c r="D73" s="197">
        <v>29909</v>
      </c>
      <c r="E73" s="197">
        <v>26554</v>
      </c>
      <c r="F73" s="197">
        <v>26495</v>
      </c>
      <c r="G73" s="197">
        <v>280</v>
      </c>
      <c r="H73" s="197">
        <v>1673</v>
      </c>
      <c r="I73" s="197">
        <v>53</v>
      </c>
      <c r="J73" s="197">
        <v>17188</v>
      </c>
      <c r="K73" s="208">
        <v>7301</v>
      </c>
      <c r="L73" s="211"/>
      <c r="M73" s="213">
        <f t="shared" si="38"/>
        <v>32013</v>
      </c>
      <c r="N73" s="208">
        <v>0</v>
      </c>
      <c r="O73" s="125"/>
      <c r="P73" s="118"/>
    </row>
    <row r="74" spans="1:16" ht="12.75" customHeight="1" x14ac:dyDescent="0.2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18"/>
      <c r="M74" s="127"/>
      <c r="N74" s="127"/>
      <c r="O74" s="118"/>
      <c r="P74" s="118"/>
    </row>
    <row r="75" spans="1:16" ht="12.75" customHeight="1" x14ac:dyDescent="0.2">
      <c r="A75" s="197" t="s">
        <v>4</v>
      </c>
      <c r="B75" s="197" t="s">
        <v>6</v>
      </c>
      <c r="C75" s="197" t="s">
        <v>106</v>
      </c>
      <c r="D75" s="197" t="s">
        <v>107</v>
      </c>
      <c r="E75" s="197" t="s">
        <v>108</v>
      </c>
      <c r="F75" s="197" t="s">
        <v>109</v>
      </c>
      <c r="G75" s="197" t="s">
        <v>110</v>
      </c>
      <c r="H75" s="197" t="s">
        <v>111</v>
      </c>
      <c r="I75" s="197" t="s">
        <v>112</v>
      </c>
      <c r="J75" s="197" t="s">
        <v>113</v>
      </c>
      <c r="K75" s="197" t="s">
        <v>114</v>
      </c>
      <c r="L75" s="197" t="s">
        <v>115</v>
      </c>
      <c r="M75" s="205" t="s">
        <v>116</v>
      </c>
      <c r="N75" s="205" t="s">
        <v>117</v>
      </c>
      <c r="O75" s="118"/>
      <c r="P75" s="118"/>
    </row>
    <row r="76" spans="1:16" ht="12.75" customHeight="1" x14ac:dyDescent="0.2">
      <c r="A76" s="170">
        <v>2007</v>
      </c>
      <c r="B76" s="127">
        <f>151404-2361</f>
        <v>149043</v>
      </c>
      <c r="C76" s="127">
        <v>136590</v>
      </c>
      <c r="D76" s="127">
        <v>7683</v>
      </c>
      <c r="E76" s="127">
        <v>0</v>
      </c>
      <c r="F76" s="127">
        <v>0</v>
      </c>
      <c r="G76" s="127">
        <v>8148</v>
      </c>
      <c r="H76" s="127">
        <v>802</v>
      </c>
      <c r="I76" s="127">
        <v>1859</v>
      </c>
      <c r="J76" s="127">
        <v>22</v>
      </c>
      <c r="K76" s="127">
        <v>3470</v>
      </c>
      <c r="L76" s="127">
        <v>917</v>
      </c>
      <c r="M76" s="214">
        <f t="shared" ref="M76:M81" si="39">(K76+L76)+N76</f>
        <v>6186</v>
      </c>
      <c r="N76" s="215">
        <f t="shared" ref="N76:N81" si="40">((((((B76-C76)-E76)-G76)+I76)+J76)-K76)-L76</f>
        <v>1799</v>
      </c>
      <c r="O76" s="126"/>
      <c r="P76" s="118"/>
    </row>
    <row r="77" spans="1:16" ht="12.75" customHeight="1" x14ac:dyDescent="0.2">
      <c r="A77" s="125">
        <v>2008</v>
      </c>
      <c r="B77" s="118">
        <f>137523-6070</f>
        <v>131453</v>
      </c>
      <c r="C77" s="118">
        <v>129314</v>
      </c>
      <c r="D77" s="118">
        <v>6199</v>
      </c>
      <c r="E77" s="118">
        <v>0</v>
      </c>
      <c r="F77" s="118">
        <v>0</v>
      </c>
      <c r="G77" s="118">
        <v>8613</v>
      </c>
      <c r="H77" s="118">
        <v>771</v>
      </c>
      <c r="I77" s="118">
        <v>1521</v>
      </c>
      <c r="J77" s="118">
        <v>16500</v>
      </c>
      <c r="K77" s="118">
        <v>3509</v>
      </c>
      <c r="L77" s="118">
        <v>1165</v>
      </c>
      <c r="M77" s="196">
        <f t="shared" si="39"/>
        <v>11547</v>
      </c>
      <c r="N77" s="216">
        <f t="shared" si="40"/>
        <v>6873</v>
      </c>
      <c r="O77" s="126"/>
      <c r="P77" s="118"/>
    </row>
    <row r="78" spans="1:16" ht="12.75" customHeight="1" x14ac:dyDescent="0.2">
      <c r="A78" s="125">
        <v>2009</v>
      </c>
      <c r="B78" s="118">
        <v>148966</v>
      </c>
      <c r="C78" s="118">
        <v>119992</v>
      </c>
      <c r="D78" s="118">
        <v>5517</v>
      </c>
      <c r="E78" s="118">
        <v>0</v>
      </c>
      <c r="F78" s="118">
        <v>0</v>
      </c>
      <c r="G78" s="118">
        <f>8711</f>
        <v>8711</v>
      </c>
      <c r="H78" s="118">
        <v>578</v>
      </c>
      <c r="I78" s="118">
        <f>1287-1803</f>
        <v>-516</v>
      </c>
      <c r="J78" s="118">
        <f>(839-1341)+1210</f>
        <v>708</v>
      </c>
      <c r="K78" s="118">
        <v>1210</v>
      </c>
      <c r="L78" s="118">
        <v>3655</v>
      </c>
      <c r="M78" s="196">
        <f>(K78+L78)+N78</f>
        <v>20455</v>
      </c>
      <c r="N78" s="216">
        <f>((((((B78-C78)-E78)-G78)+I78)+J78)-K78)-L78</f>
        <v>15590</v>
      </c>
      <c r="O78" s="126"/>
      <c r="P78" s="118"/>
    </row>
    <row r="79" spans="1:16" ht="12.75" customHeight="1" x14ac:dyDescent="0.2">
      <c r="A79" s="125">
        <v>2010</v>
      </c>
      <c r="B79" s="118">
        <v>197214</v>
      </c>
      <c r="C79" s="118">
        <v>155599</v>
      </c>
      <c r="D79" s="118">
        <v>5821</v>
      </c>
      <c r="E79" s="118">
        <v>0</v>
      </c>
      <c r="F79" s="118">
        <v>0</v>
      </c>
      <c r="G79" s="118">
        <f>10231</f>
        <v>10231</v>
      </c>
      <c r="H79" s="118">
        <v>588</v>
      </c>
      <c r="I79" s="118">
        <f>1251-810</f>
        <v>441</v>
      </c>
      <c r="J79" s="118">
        <f>(1869-943)+776</f>
        <v>1702</v>
      </c>
      <c r="K79" s="118">
        <v>776</v>
      </c>
      <c r="L79" s="118">
        <v>4894</v>
      </c>
      <c r="M79" s="196">
        <f t="shared" si="39"/>
        <v>33527</v>
      </c>
      <c r="N79" s="216">
        <f t="shared" si="40"/>
        <v>27857</v>
      </c>
      <c r="O79" s="126"/>
      <c r="P79" s="118"/>
    </row>
    <row r="80" spans="1:16" ht="12.75" customHeight="1" x14ac:dyDescent="0.2">
      <c r="A80" s="125">
        <v>2011</v>
      </c>
      <c r="B80" s="118">
        <v>238368</v>
      </c>
      <c r="C80" s="118">
        <v>196620</v>
      </c>
      <c r="D80" s="118">
        <v>6049</v>
      </c>
      <c r="E80" s="118">
        <v>0</v>
      </c>
      <c r="F80" s="118">
        <v>0</v>
      </c>
      <c r="G80" s="118">
        <f>12667</f>
        <v>12667</v>
      </c>
      <c r="H80" s="118">
        <v>495</v>
      </c>
      <c r="I80" s="118">
        <f>1424-792</f>
        <v>632</v>
      </c>
      <c r="J80" s="118">
        <v>1398</v>
      </c>
      <c r="K80" s="118">
        <v>181</v>
      </c>
      <c r="L80" s="118">
        <v>4119</v>
      </c>
      <c r="M80" s="196">
        <f t="shared" si="39"/>
        <v>31111</v>
      </c>
      <c r="N80" s="216">
        <f t="shared" si="40"/>
        <v>26811</v>
      </c>
      <c r="O80" s="126"/>
      <c r="P80" s="118"/>
    </row>
    <row r="81" spans="1:16" ht="12.75" customHeight="1" x14ac:dyDescent="0.2">
      <c r="A81" s="171">
        <v>2012</v>
      </c>
      <c r="B81" s="197">
        <v>230141</v>
      </c>
      <c r="C81" s="197">
        <v>186617</v>
      </c>
      <c r="D81" s="197">
        <v>4947</v>
      </c>
      <c r="E81" s="197">
        <v>0</v>
      </c>
      <c r="F81" s="197">
        <v>0</v>
      </c>
      <c r="G81" s="197">
        <f>14951</f>
        <v>14951</v>
      </c>
      <c r="H81" s="197">
        <v>441</v>
      </c>
      <c r="I81" s="197">
        <f>1490-854</f>
        <v>636</v>
      </c>
      <c r="J81" s="197">
        <v>468</v>
      </c>
      <c r="K81" s="197">
        <v>23</v>
      </c>
      <c r="L81" s="197">
        <v>2819</v>
      </c>
      <c r="M81" s="205">
        <f t="shared" si="39"/>
        <v>29677</v>
      </c>
      <c r="N81" s="217">
        <f t="shared" si="40"/>
        <v>26835</v>
      </c>
      <c r="O81" s="126"/>
      <c r="P81" s="118"/>
    </row>
    <row r="82" spans="1:16" ht="12.75" customHeight="1" x14ac:dyDescent="0.2">
      <c r="A82" s="127"/>
      <c r="B82" s="127"/>
      <c r="C82" s="127"/>
      <c r="D82" s="127"/>
      <c r="E82" s="127"/>
      <c r="F82" s="127"/>
      <c r="G82" s="127"/>
      <c r="H82" s="127"/>
      <c r="I82" s="127"/>
      <c r="J82" s="127"/>
      <c r="K82" s="127"/>
      <c r="L82" s="127"/>
      <c r="M82" s="127"/>
      <c r="N82" s="127"/>
      <c r="O82" s="118"/>
      <c r="P82" s="118"/>
    </row>
    <row r="83" spans="1:16" ht="12.75" customHeight="1" x14ac:dyDescent="0.2">
      <c r="A83" s="197" t="s">
        <v>4</v>
      </c>
      <c r="B83" s="197" t="s">
        <v>118</v>
      </c>
      <c r="C83" s="197" t="s">
        <v>119</v>
      </c>
      <c r="D83" s="197" t="s">
        <v>120</v>
      </c>
      <c r="E83" s="197" t="s">
        <v>121</v>
      </c>
      <c r="F83" s="197" t="s">
        <v>122</v>
      </c>
      <c r="G83" s="197" t="s">
        <v>123</v>
      </c>
      <c r="H83" s="118"/>
      <c r="I83" s="197" t="s">
        <v>124</v>
      </c>
      <c r="J83" s="197" t="s">
        <v>5</v>
      </c>
      <c r="K83" s="118"/>
      <c r="L83" s="118"/>
      <c r="M83" s="118"/>
      <c r="N83" s="118"/>
      <c r="O83" s="118"/>
      <c r="P83" s="118"/>
    </row>
    <row r="84" spans="1:16" ht="12.75" customHeight="1" x14ac:dyDescent="0.2">
      <c r="A84" s="170">
        <v>2007</v>
      </c>
      <c r="B84" s="127">
        <v>95975</v>
      </c>
      <c r="C84" s="127">
        <v>44109</v>
      </c>
      <c r="D84" s="127">
        <f>B84-C84</f>
        <v>51866</v>
      </c>
      <c r="E84" s="127">
        <v>8490</v>
      </c>
      <c r="F84" s="127">
        <v>1005</v>
      </c>
      <c r="G84" s="207">
        <v>3063</v>
      </c>
      <c r="H84" s="211"/>
      <c r="I84" s="170">
        <v>15368</v>
      </c>
      <c r="J84" s="207">
        <v>821</v>
      </c>
      <c r="K84" s="125"/>
      <c r="L84" s="118"/>
      <c r="M84" s="118"/>
      <c r="N84" s="118"/>
      <c r="O84" s="118"/>
      <c r="P84" s="118"/>
    </row>
    <row r="85" spans="1:16" ht="12.75" customHeight="1" x14ac:dyDescent="0.2">
      <c r="A85" s="125">
        <v>2008</v>
      </c>
      <c r="B85" s="118">
        <v>95529</v>
      </c>
      <c r="C85" s="118">
        <v>50020</v>
      </c>
      <c r="D85" s="118">
        <f>B85-C85</f>
        <v>45509</v>
      </c>
      <c r="E85" s="118">
        <v>6981</v>
      </c>
      <c r="F85" s="118">
        <v>1151</v>
      </c>
      <c r="G85" s="143">
        <v>733</v>
      </c>
      <c r="H85" s="211"/>
      <c r="I85" s="125">
        <v>15232</v>
      </c>
      <c r="J85" s="143">
        <v>561</v>
      </c>
      <c r="K85" s="125"/>
      <c r="L85" s="118"/>
      <c r="M85" s="118"/>
      <c r="N85" s="118"/>
      <c r="O85" s="118"/>
      <c r="P85" s="118"/>
    </row>
    <row r="86" spans="1:16" ht="12.75" customHeight="1" x14ac:dyDescent="0.2">
      <c r="A86" s="125">
        <v>2009</v>
      </c>
      <c r="B86" s="118">
        <v>85296</v>
      </c>
      <c r="C86" s="118">
        <v>51239</v>
      </c>
      <c r="D86" s="118">
        <f>B86-C86</f>
        <v>34057</v>
      </c>
      <c r="E86" s="118">
        <v>6048</v>
      </c>
      <c r="F86" s="118">
        <v>2202</v>
      </c>
      <c r="G86" s="143">
        <v>30</v>
      </c>
      <c r="H86" s="211"/>
      <c r="I86" s="125">
        <v>15749</v>
      </c>
      <c r="J86" s="143">
        <v>442</v>
      </c>
      <c r="K86" s="125"/>
      <c r="L86" s="118"/>
      <c r="M86" s="118"/>
      <c r="N86" s="118"/>
      <c r="O86" s="118"/>
      <c r="P86" s="118"/>
    </row>
    <row r="87" spans="1:16" ht="12.75" customHeight="1" x14ac:dyDescent="0.2">
      <c r="A87" s="125">
        <v>2010</v>
      </c>
      <c r="B87" s="118">
        <v>84776</v>
      </c>
      <c r="C87" s="118">
        <v>54869</v>
      </c>
      <c r="D87" s="118">
        <f>B87-C87</f>
        <v>29907</v>
      </c>
      <c r="E87" s="118">
        <v>6201</v>
      </c>
      <c r="F87" s="118">
        <v>2284</v>
      </c>
      <c r="G87" s="143">
        <v>101</v>
      </c>
      <c r="H87" s="211"/>
      <c r="I87" s="125">
        <v>11532</v>
      </c>
      <c r="J87" s="143">
        <v>414</v>
      </c>
      <c r="K87" s="125"/>
      <c r="L87" s="118"/>
      <c r="M87" s="118"/>
      <c r="N87" s="118"/>
      <c r="O87" s="118"/>
      <c r="P87" s="118"/>
    </row>
    <row r="88" spans="1:16" ht="12.75" customHeight="1" x14ac:dyDescent="0.2">
      <c r="A88" s="125">
        <v>2011</v>
      </c>
      <c r="B88" s="118">
        <v>88851</v>
      </c>
      <c r="C88" s="118">
        <v>59313</v>
      </c>
      <c r="D88" s="118">
        <v>29538</v>
      </c>
      <c r="E88" s="118">
        <v>6245</v>
      </c>
      <c r="F88" s="118">
        <v>5843</v>
      </c>
      <c r="G88" s="143">
        <v>21</v>
      </c>
      <c r="H88" s="211"/>
      <c r="I88" s="125">
        <v>14017</v>
      </c>
      <c r="J88" s="143">
        <v>445</v>
      </c>
      <c r="K88" s="125"/>
      <c r="L88" s="118"/>
      <c r="M88" s="118"/>
      <c r="N88" s="118"/>
      <c r="O88" s="118"/>
      <c r="P88" s="118"/>
    </row>
    <row r="89" spans="1:16" ht="12.75" customHeight="1" x14ac:dyDescent="0.2">
      <c r="A89" s="171">
        <v>2012</v>
      </c>
      <c r="B89" s="197">
        <v>101693</v>
      </c>
      <c r="C89" s="197">
        <v>63091</v>
      </c>
      <c r="D89" s="197">
        <v>38602</v>
      </c>
      <c r="E89" s="197">
        <v>5441</v>
      </c>
      <c r="F89" s="197">
        <v>14411</v>
      </c>
      <c r="G89" s="208">
        <v>97</v>
      </c>
      <c r="H89" s="211"/>
      <c r="I89" s="171">
        <v>19249</v>
      </c>
      <c r="J89" s="208">
        <v>427</v>
      </c>
      <c r="K89" s="125"/>
      <c r="L89" s="118"/>
      <c r="M89" s="118"/>
      <c r="N89" s="118"/>
      <c r="O89" s="118"/>
      <c r="P89" s="118"/>
    </row>
    <row r="90" spans="1:16" ht="12.75" customHeight="1" x14ac:dyDescent="0.2">
      <c r="A90" s="127"/>
      <c r="B90" s="127"/>
      <c r="C90" s="127" t="s">
        <v>125</v>
      </c>
      <c r="D90" s="127"/>
      <c r="E90" s="127"/>
      <c r="F90" s="127"/>
      <c r="G90" s="127"/>
      <c r="H90" s="118"/>
      <c r="I90" s="127"/>
      <c r="J90" s="127"/>
      <c r="K90" s="118"/>
      <c r="L90" s="118"/>
      <c r="M90" s="118"/>
      <c r="N90" s="118"/>
      <c r="O90" s="118"/>
      <c r="P90" s="118"/>
    </row>
    <row r="91" spans="1:16" ht="12.75" customHeight="1" x14ac:dyDescent="0.2">
      <c r="A91" s="118"/>
      <c r="B91" s="118"/>
      <c r="C91" s="118"/>
      <c r="D91" s="118"/>
      <c r="E91" s="118"/>
      <c r="F91" s="118"/>
      <c r="G91" s="118"/>
      <c r="H91" s="118"/>
      <c r="I91" s="118"/>
      <c r="J91" s="118"/>
      <c r="K91" s="118"/>
      <c r="L91" s="118"/>
      <c r="M91" s="118"/>
      <c r="N91" s="118"/>
      <c r="O91" s="118"/>
      <c r="P91" s="118"/>
    </row>
    <row r="92" spans="1:16" ht="12.75" customHeight="1" x14ac:dyDescent="0.2">
      <c r="A92" s="118"/>
      <c r="B92" s="118"/>
      <c r="C92" s="118"/>
      <c r="D92" s="118"/>
      <c r="E92" s="118"/>
      <c r="F92" s="118"/>
      <c r="G92" s="118"/>
      <c r="H92" s="118"/>
      <c r="I92" s="118"/>
      <c r="J92" s="118"/>
      <c r="K92" s="118"/>
      <c r="L92" s="118"/>
      <c r="M92" s="118"/>
      <c r="N92" s="118"/>
      <c r="O92" s="118"/>
      <c r="P92" s="118"/>
    </row>
    <row r="93" spans="1:16" ht="12.75" customHeight="1" x14ac:dyDescent="0.2">
      <c r="A93" s="118"/>
      <c r="B93" s="118"/>
      <c r="C93" s="118"/>
      <c r="D93" s="118"/>
      <c r="E93" s="118"/>
      <c r="F93" s="118"/>
      <c r="G93" s="118"/>
      <c r="H93" s="118"/>
      <c r="I93" s="118"/>
      <c r="J93" s="118"/>
      <c r="K93" s="118"/>
      <c r="L93" s="118"/>
      <c r="M93" s="118"/>
      <c r="N93" s="118"/>
      <c r="O93" s="118"/>
      <c r="P93" s="118"/>
    </row>
    <row r="94" spans="1:16" ht="12.75" customHeight="1" x14ac:dyDescent="0.2">
      <c r="A94" s="118"/>
      <c r="B94" s="118"/>
      <c r="C94" s="118"/>
      <c r="D94" s="118"/>
      <c r="E94" s="118"/>
      <c r="F94" s="118"/>
      <c r="G94" s="118"/>
      <c r="H94" s="118"/>
      <c r="I94" s="118"/>
      <c r="J94" s="118"/>
      <c r="K94" s="118"/>
      <c r="L94" s="118"/>
      <c r="M94" s="118"/>
      <c r="N94" s="118"/>
      <c r="O94" s="118"/>
      <c r="P94" s="118"/>
    </row>
    <row r="95" spans="1:16" ht="12.75" customHeight="1" x14ac:dyDescent="0.2">
      <c r="A95" s="118"/>
      <c r="B95" s="118"/>
      <c r="C95" s="118"/>
      <c r="D95" s="118"/>
      <c r="E95" s="118"/>
      <c r="F95" s="118"/>
      <c r="G95" s="118"/>
      <c r="H95" s="118"/>
      <c r="I95" s="118"/>
      <c r="J95" s="118"/>
      <c r="K95" s="118"/>
      <c r="L95" s="118"/>
      <c r="M95" s="118"/>
      <c r="N95" s="118"/>
      <c r="O95" s="118"/>
      <c r="P95" s="118"/>
    </row>
    <row r="96" spans="1:16" ht="12.75" customHeight="1" x14ac:dyDescent="0.2">
      <c r="A96" s="118"/>
      <c r="B96" s="118"/>
      <c r="C96" s="118"/>
      <c r="D96" s="118"/>
      <c r="E96" s="118"/>
      <c r="F96" s="118"/>
      <c r="G96" s="118"/>
      <c r="H96" s="118"/>
      <c r="I96" s="118"/>
      <c r="J96" s="118"/>
      <c r="K96" s="118"/>
      <c r="L96" s="118"/>
      <c r="M96" s="118"/>
      <c r="N96" s="118"/>
      <c r="O96" s="118"/>
      <c r="P96" s="118"/>
    </row>
    <row r="97" spans="1:16" ht="12.75" customHeight="1" x14ac:dyDescent="0.2">
      <c r="A97" s="118"/>
      <c r="B97" s="118"/>
      <c r="C97" s="118"/>
      <c r="D97" s="118"/>
      <c r="E97" s="118"/>
      <c r="F97" s="118"/>
      <c r="G97" s="118"/>
      <c r="H97" s="118"/>
      <c r="I97" s="118"/>
      <c r="J97" s="118"/>
      <c r="K97" s="118"/>
      <c r="L97" s="118"/>
      <c r="M97" s="118"/>
      <c r="N97" s="118"/>
      <c r="O97" s="118"/>
      <c r="P97" s="118"/>
    </row>
    <row r="98" spans="1:16" ht="12.75" customHeight="1" x14ac:dyDescent="0.2">
      <c r="A98" s="118"/>
      <c r="B98" s="118"/>
      <c r="C98" s="118"/>
      <c r="D98" s="118"/>
      <c r="E98" s="118"/>
      <c r="F98" s="118"/>
      <c r="G98" s="118"/>
      <c r="H98" s="118"/>
      <c r="I98" s="118"/>
      <c r="J98" s="118"/>
      <c r="K98" s="118"/>
      <c r="L98" s="118"/>
      <c r="M98" s="118"/>
      <c r="N98" s="118"/>
      <c r="O98" s="118"/>
      <c r="P98" s="118"/>
    </row>
    <row r="99" spans="1:16" ht="12.75" customHeight="1" x14ac:dyDescent="0.2">
      <c r="A99" s="118"/>
      <c r="B99" s="118"/>
      <c r="C99" s="118"/>
      <c r="D99" s="118"/>
      <c r="E99" s="118"/>
      <c r="F99" s="118"/>
      <c r="G99" s="118"/>
      <c r="H99" s="118"/>
      <c r="I99" s="118"/>
      <c r="J99" s="118"/>
      <c r="K99" s="118"/>
      <c r="L99" s="118"/>
      <c r="M99" s="118"/>
      <c r="N99" s="118"/>
      <c r="O99" s="118"/>
      <c r="P99" s="118"/>
    </row>
    <row r="100" spans="1:16" ht="12.75" customHeight="1" x14ac:dyDescent="0.2">
      <c r="A100" s="118"/>
      <c r="B100" s="118"/>
      <c r="C100" s="118"/>
      <c r="D100" s="118"/>
      <c r="E100" s="118"/>
      <c r="F100" s="118"/>
      <c r="G100" s="118"/>
      <c r="H100" s="118"/>
      <c r="I100" s="118"/>
      <c r="J100" s="118"/>
      <c r="K100" s="118"/>
      <c r="L100" s="118"/>
      <c r="M100" s="118"/>
      <c r="N100" s="118"/>
      <c r="O100" s="118"/>
      <c r="P100" s="118"/>
    </row>
    <row r="101" spans="1:16" ht="12.75" customHeight="1" x14ac:dyDescent="0.2">
      <c r="A101" s="118"/>
      <c r="B101" s="118"/>
      <c r="C101" s="118"/>
      <c r="D101" s="118"/>
      <c r="E101" s="118"/>
      <c r="F101" s="118"/>
      <c r="G101" s="118"/>
      <c r="H101" s="118"/>
      <c r="I101" s="118"/>
      <c r="J101" s="118"/>
      <c r="K101" s="118"/>
      <c r="L101" s="118"/>
      <c r="M101" s="118"/>
      <c r="N101" s="118"/>
      <c r="O101" s="118"/>
      <c r="P101" s="118"/>
    </row>
    <row r="102" spans="1:16" ht="12.75" customHeight="1" x14ac:dyDescent="0.2">
      <c r="A102" s="118"/>
      <c r="B102" s="454"/>
      <c r="C102" s="454"/>
      <c r="D102" s="118"/>
      <c r="E102" s="118"/>
      <c r="F102" s="118"/>
      <c r="G102" s="118"/>
      <c r="H102" s="118"/>
      <c r="I102" s="118"/>
      <c r="J102" s="118"/>
      <c r="K102" s="118"/>
      <c r="L102" s="118"/>
      <c r="M102" s="118"/>
      <c r="N102" s="118"/>
      <c r="O102" s="118"/>
      <c r="P102" s="118"/>
    </row>
    <row r="103" spans="1:16" ht="12.75" customHeight="1" x14ac:dyDescent="0.2">
      <c r="A103" s="118"/>
      <c r="B103" s="118"/>
      <c r="C103" s="118"/>
      <c r="D103" s="118"/>
      <c r="E103" s="118"/>
      <c r="F103" s="118"/>
      <c r="G103" s="118"/>
      <c r="H103" s="118"/>
      <c r="I103" s="118"/>
      <c r="J103" s="118"/>
      <c r="K103" s="118"/>
      <c r="L103" s="118"/>
      <c r="M103" s="118"/>
      <c r="N103" s="118"/>
      <c r="O103" s="118"/>
      <c r="P103" s="118"/>
    </row>
    <row r="104" spans="1:16" ht="12.75" customHeight="1" x14ac:dyDescent="0.2">
      <c r="A104" s="118"/>
      <c r="B104" s="118"/>
      <c r="C104" s="118"/>
      <c r="D104" s="118"/>
      <c r="E104" s="118"/>
      <c r="F104" s="118"/>
      <c r="G104" s="118"/>
      <c r="H104" s="118"/>
      <c r="I104" s="118"/>
      <c r="J104" s="118"/>
      <c r="K104" s="118"/>
      <c r="L104" s="118"/>
      <c r="M104" s="118"/>
      <c r="N104" s="118"/>
      <c r="O104" s="118"/>
      <c r="P104" s="118"/>
    </row>
    <row r="105" spans="1:16" ht="12.75" customHeight="1" x14ac:dyDescent="0.2">
      <c r="A105" s="218"/>
      <c r="B105" s="118"/>
      <c r="C105" s="118"/>
      <c r="D105" s="118"/>
      <c r="E105" s="118"/>
      <c r="F105" s="118"/>
      <c r="G105" s="118"/>
      <c r="H105" s="118"/>
      <c r="I105" s="118"/>
      <c r="J105" s="118"/>
      <c r="K105" s="118"/>
      <c r="L105" s="118"/>
      <c r="M105" s="118"/>
      <c r="N105" s="118"/>
      <c r="O105" s="118"/>
      <c r="P105" s="118"/>
    </row>
    <row r="106" spans="1:16" ht="12.75" customHeight="1" x14ac:dyDescent="0.2">
      <c r="A106" s="11"/>
    </row>
  </sheetData>
  <mergeCells count="4">
    <mergeCell ref="A1:F1"/>
    <mergeCell ref="A3:F3"/>
    <mergeCell ref="A48:B48"/>
    <mergeCell ref="B102:C102"/>
  </mergeCells>
  <pageMargins left="0.7" right="0.7" top="0.75" bottom="0.75" header="0.3" footer="0.3"/>
  <ignoredErrors>
    <ignoredError sqref="L7" formula="1"/>
  </ignoredErrors>
  <drawing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90"/>
  <sheetViews>
    <sheetView tabSelected="1" zoomScale="90" zoomScaleNormal="90" workbookViewId="0">
      <selection activeCell="J8" sqref="J8"/>
    </sheetView>
  </sheetViews>
  <sheetFormatPr defaultColWidth="17.140625" defaultRowHeight="12.75" customHeight="1" x14ac:dyDescent="0.2"/>
  <cols>
    <col min="1" max="1" width="28.7109375" style="220" customWidth="1"/>
    <col min="2" max="2" width="19.42578125" style="220" customWidth="1"/>
    <col min="3" max="7" width="17.140625" style="220"/>
    <col min="8" max="8" width="14.85546875" style="220" customWidth="1"/>
    <col min="9" max="9" width="13" style="220" customWidth="1"/>
    <col min="10" max="10" width="14.28515625" style="220" customWidth="1"/>
    <col min="11" max="16" width="13" style="220" customWidth="1"/>
    <col min="17" max="16384" width="17.140625" style="220"/>
  </cols>
  <sheetData>
    <row r="1" spans="1:16" ht="12.75" customHeight="1" x14ac:dyDescent="0.2">
      <c r="A1" s="476" t="s">
        <v>397</v>
      </c>
      <c r="B1" s="476"/>
      <c r="C1" s="476"/>
      <c r="D1" s="476"/>
      <c r="E1" s="476"/>
      <c r="F1" s="476"/>
      <c r="G1" s="476"/>
    </row>
    <row r="2" spans="1:16" ht="12.75" customHeight="1" thickBot="1" x14ac:dyDescent="0.25"/>
    <row r="3" spans="1:16" ht="12.75" customHeight="1" x14ac:dyDescent="0.2">
      <c r="A3" s="224" t="s">
        <v>269</v>
      </c>
      <c r="B3" s="225">
        <v>0.24</v>
      </c>
      <c r="C3" s="313"/>
    </row>
    <row r="4" spans="1:16" ht="12.75" customHeight="1" x14ac:dyDescent="0.2">
      <c r="A4" s="226" t="s">
        <v>271</v>
      </c>
      <c r="B4" s="227">
        <v>2.7799999999999998E-2</v>
      </c>
      <c r="C4" s="414" t="s">
        <v>469</v>
      </c>
    </row>
    <row r="5" spans="1:16" ht="12.75" customHeight="1" thickBot="1" x14ac:dyDescent="0.25">
      <c r="A5" s="228" t="s">
        <v>273</v>
      </c>
      <c r="B5" s="229">
        <v>3886.2669999999998</v>
      </c>
      <c r="C5" s="314"/>
    </row>
    <row r="7" spans="1:16" ht="12.75" customHeight="1" thickBot="1" x14ac:dyDescent="0.25"/>
    <row r="8" spans="1:16" ht="12.75" customHeight="1" x14ac:dyDescent="0.2">
      <c r="A8" s="224" t="s">
        <v>393</v>
      </c>
      <c r="B8" s="225">
        <f>B4</f>
        <v>2.7799999999999998E-2</v>
      </c>
    </row>
    <row r="9" spans="1:16" ht="12.75" customHeight="1" x14ac:dyDescent="0.2">
      <c r="A9" s="226" t="s">
        <v>394</v>
      </c>
      <c r="B9" s="227">
        <f>'Discount Factor'!H15</f>
        <v>9.5735852018333831E-2</v>
      </c>
    </row>
    <row r="10" spans="1:16" ht="12.75" customHeight="1" thickBot="1" x14ac:dyDescent="0.25">
      <c r="A10" s="228" t="s">
        <v>396</v>
      </c>
      <c r="B10" s="221">
        <f>'Discount Factor'!B7</f>
        <v>9.5903503756399999E-2</v>
      </c>
    </row>
    <row r="12" spans="1:16" ht="12.75" customHeight="1" thickBot="1" x14ac:dyDescent="0.25"/>
    <row r="13" spans="1:16" ht="12.75" customHeight="1" thickBot="1" x14ac:dyDescent="0.25">
      <c r="A13" s="482" t="s">
        <v>267</v>
      </c>
      <c r="B13" s="483"/>
      <c r="C13" s="483"/>
      <c r="D13" s="483"/>
      <c r="E13" s="483"/>
      <c r="F13" s="483"/>
      <c r="G13" s="484"/>
      <c r="H13" s="239"/>
      <c r="I13" s="315" t="s">
        <v>389</v>
      </c>
      <c r="J13" s="316"/>
      <c r="K13" s="317"/>
      <c r="L13" s="317"/>
      <c r="M13" s="317"/>
      <c r="N13" s="317"/>
      <c r="O13" s="317"/>
      <c r="P13" s="318"/>
    </row>
    <row r="14" spans="1:16" ht="12.75" customHeight="1" x14ac:dyDescent="0.2">
      <c r="A14" s="236" t="s">
        <v>4</v>
      </c>
      <c r="B14" s="237" t="s">
        <v>127</v>
      </c>
      <c r="C14" s="237" t="s">
        <v>128</v>
      </c>
      <c r="D14" s="237" t="s">
        <v>129</v>
      </c>
      <c r="E14" s="237" t="s">
        <v>130</v>
      </c>
      <c r="F14" s="237" t="s">
        <v>131</v>
      </c>
      <c r="G14" s="238" t="s">
        <v>475</v>
      </c>
      <c r="H14" s="319"/>
      <c r="I14" s="320"/>
      <c r="J14" s="321"/>
      <c r="K14" s="322"/>
      <c r="L14" s="322"/>
      <c r="M14" s="322"/>
      <c r="N14" s="322"/>
      <c r="O14" s="322"/>
      <c r="P14" s="323"/>
    </row>
    <row r="15" spans="1:16" ht="12.75" customHeight="1" thickBot="1" x14ac:dyDescent="0.25">
      <c r="A15" s="239" t="s">
        <v>268</v>
      </c>
      <c r="B15" s="220">
        <v>1</v>
      </c>
      <c r="C15" s="220">
        <v>2</v>
      </c>
      <c r="D15" s="220">
        <v>3</v>
      </c>
      <c r="E15" s="220">
        <v>4</v>
      </c>
      <c r="F15" s="220">
        <v>5</v>
      </c>
      <c r="G15" s="240"/>
      <c r="H15" s="319"/>
      <c r="I15" s="324"/>
      <c r="J15" s="325"/>
      <c r="K15" s="479" t="s">
        <v>395</v>
      </c>
      <c r="L15" s="479"/>
      <c r="M15" s="479"/>
      <c r="N15" s="479"/>
      <c r="O15" s="479"/>
      <c r="P15" s="323"/>
    </row>
    <row r="16" spans="1:16" ht="12.75" customHeight="1" x14ac:dyDescent="0.2">
      <c r="A16" s="239" t="s">
        <v>270</v>
      </c>
      <c r="B16" s="230">
        <f>BS!C28</f>
        <v>72008</v>
      </c>
      <c r="C16" s="230">
        <f>BS!D28</f>
        <v>73223.321534809802</v>
      </c>
      <c r="D16" s="230">
        <f>BS!E28</f>
        <v>74881.142793129213</v>
      </c>
      <c r="E16" s="230">
        <f>BS!F28</f>
        <v>74881.142793129213</v>
      </c>
      <c r="F16" s="230">
        <f>BS!G28</f>
        <v>71367.447582524721</v>
      </c>
      <c r="G16" s="231">
        <f>BS!H28</f>
        <v>67337.919369573719</v>
      </c>
      <c r="H16" s="319"/>
      <c r="I16" s="326"/>
      <c r="J16" s="327"/>
      <c r="K16" s="480" t="s">
        <v>391</v>
      </c>
      <c r="L16" s="481"/>
      <c r="M16" s="481"/>
      <c r="N16" s="481"/>
      <c r="O16" s="481"/>
      <c r="P16" s="323"/>
    </row>
    <row r="17" spans="1:16" ht="12.75" customHeight="1" x14ac:dyDescent="0.2">
      <c r="A17" s="239" t="s">
        <v>272</v>
      </c>
      <c r="B17" s="232">
        <f>'Key ratios'!C12-'Discount Factor'!$B$7</f>
        <v>0.22382897815047043</v>
      </c>
      <c r="C17" s="232">
        <f>'Key ratios'!D12-'Discount Factor'!$B$7</f>
        <v>-1.1225403072461462E-2</v>
      </c>
      <c r="D17" s="232">
        <f>'Key ratios'!E12-'Discount Factor'!$B$7</f>
        <v>0.13080203725490824</v>
      </c>
      <c r="E17" s="232">
        <f>'Key ratios'!F12-'Discount Factor'!$B$7</f>
        <v>0.11096966715187856</v>
      </c>
      <c r="F17" s="232">
        <f>'Key ratios'!G12-'Discount Factor'!$B$7</f>
        <v>9.2049748110816093E-2</v>
      </c>
      <c r="G17" s="233">
        <f>B3-'Discount Factor'!B7</f>
        <v>0.14409649624359999</v>
      </c>
      <c r="H17" s="319"/>
      <c r="I17" s="324"/>
      <c r="J17" s="328">
        <f>B22</f>
        <v>50.441037818005682</v>
      </c>
      <c r="K17" s="223">
        <v>7.7999999999999996E-3</v>
      </c>
      <c r="L17" s="223">
        <v>1.78E-2</v>
      </c>
      <c r="M17" s="223">
        <v>2.7799999999999998E-2</v>
      </c>
      <c r="N17" s="223">
        <v>3.78E-2</v>
      </c>
      <c r="O17" s="223">
        <v>4.7800000000000002E-2</v>
      </c>
      <c r="P17" s="323"/>
    </row>
    <row r="18" spans="1:16" ht="12.75" customHeight="1" thickBot="1" x14ac:dyDescent="0.25">
      <c r="A18" s="239" t="s">
        <v>274</v>
      </c>
      <c r="B18" s="230">
        <f t="shared" ref="B18:F18" si="0">B16*B17</f>
        <v>16117.477058659075</v>
      </c>
      <c r="C18" s="230">
        <f t="shared" si="0"/>
        <v>-821.96129853268747</v>
      </c>
      <c r="D18" s="230">
        <f t="shared" si="0"/>
        <v>9794.6060293169903</v>
      </c>
      <c r="E18" s="230">
        <f t="shared" si="0"/>
        <v>8309.5354917058394</v>
      </c>
      <c r="F18" s="230">
        <f t="shared" si="0"/>
        <v>6569.355573283271</v>
      </c>
      <c r="G18" s="231">
        <f>G16*G17</f>
        <v>9703.1582454896179</v>
      </c>
      <c r="H18" s="239"/>
      <c r="I18" s="324"/>
      <c r="J18" s="222">
        <v>8.5900000000000004E-2</v>
      </c>
      <c r="K18" s="329">
        <f t="dataTable" ref="K18:O23" dt2D="1" dtr="1" r1="B8" r2="B10" ca="1"/>
        <v>45.709517062876309</v>
      </c>
      <c r="L18" s="329">
        <v>48.343057142076368</v>
      </c>
      <c r="M18" s="329">
        <v>51.749990639805972</v>
      </c>
      <c r="N18" s="329">
        <v>56.329636031817628</v>
      </c>
      <c r="O18" s="329">
        <v>62.813361182843643</v>
      </c>
      <c r="P18" s="323"/>
    </row>
    <row r="19" spans="1:16" ht="12.75" customHeight="1" thickBot="1" x14ac:dyDescent="0.25">
      <c r="A19" s="239" t="s">
        <v>275</v>
      </c>
      <c r="B19" s="230"/>
      <c r="C19" s="230"/>
      <c r="D19" s="230"/>
      <c r="E19" s="230"/>
      <c r="F19" s="230"/>
      <c r="G19" s="231">
        <f>(G18*(1+B8))/('Discount Factor'!B7-B8)</f>
        <v>146437.48844973382</v>
      </c>
      <c r="H19" s="239"/>
      <c r="I19" s="330"/>
      <c r="J19" s="222">
        <v>9.5904000000000003E-2</v>
      </c>
      <c r="K19" s="329">
        <v>44.671216638496347</v>
      </c>
      <c r="L19" s="329">
        <v>47.186729472164743</v>
      </c>
      <c r="M19" s="331">
        <v>50.440974586823017</v>
      </c>
      <c r="N19" s="329">
        <v>54.815374220321239</v>
      </c>
      <c r="O19" s="329">
        <v>61.008518557178505</v>
      </c>
      <c r="P19" s="323"/>
    </row>
    <row r="20" spans="1:16" ht="12.75" customHeight="1" x14ac:dyDescent="0.2">
      <c r="A20" s="239" t="s">
        <v>276</v>
      </c>
      <c r="B20" s="230">
        <f>B18/((1+$B$10)^B15)</f>
        <v>14707.022108619616</v>
      </c>
      <c r="C20" s="230">
        <f>C18/((1+$B$10)^C15)</f>
        <v>-684.39485920965046</v>
      </c>
      <c r="D20" s="230">
        <f>D18/((1+$B$10)^D15)</f>
        <v>7441.6634592070104</v>
      </c>
      <c r="E20" s="230">
        <f>E18/((1+$B$10)^E15)</f>
        <v>5760.8621784751849</v>
      </c>
      <c r="F20" s="230">
        <f>F18/((1+$B$10)^F15)</f>
        <v>4155.8627089378806</v>
      </c>
      <c r="G20" s="231">
        <f>G19/((1+$B$10)^F15)</f>
        <v>92638.325121837435</v>
      </c>
      <c r="H20" s="239"/>
      <c r="I20" s="485" t="s">
        <v>396</v>
      </c>
      <c r="J20" s="222">
        <v>0.10589999999999999</v>
      </c>
      <c r="K20" s="329">
        <v>43.686472268373514</v>
      </c>
      <c r="L20" s="329">
        <v>46.090335791990327</v>
      </c>
      <c r="M20" s="329">
        <v>49.200143471495295</v>
      </c>
      <c r="N20" s="329">
        <v>53.380388380583824</v>
      </c>
      <c r="O20" s="329">
        <v>59.29865425806485</v>
      </c>
      <c r="P20" s="323"/>
    </row>
    <row r="21" spans="1:16" ht="12.75" customHeight="1" x14ac:dyDescent="0.2">
      <c r="A21" s="239" t="s">
        <v>277</v>
      </c>
      <c r="B21" s="230">
        <f>SUM(B20:G20)+B16</f>
        <v>196027.34071786748</v>
      </c>
      <c r="C21" s="230"/>
      <c r="D21" s="230"/>
      <c r="E21" s="230"/>
      <c r="F21" s="230"/>
      <c r="G21" s="231"/>
      <c r="H21" s="239"/>
      <c r="I21" s="485"/>
      <c r="J21" s="222">
        <v>0.115896</v>
      </c>
      <c r="K21" s="329">
        <v>42.751259334808928</v>
      </c>
      <c r="L21" s="329">
        <v>45.049367647446921</v>
      </c>
      <c r="M21" s="329">
        <v>48.022362914758538</v>
      </c>
      <c r="N21" s="329">
        <v>52.018702756874426</v>
      </c>
      <c r="O21" s="329">
        <v>57.67660133381915</v>
      </c>
      <c r="P21" s="323"/>
    </row>
    <row r="22" spans="1:16" ht="12.75" customHeight="1" x14ac:dyDescent="0.2">
      <c r="A22" s="239" t="s">
        <v>278</v>
      </c>
      <c r="B22" s="230">
        <f>B21/B5</f>
        <v>50.441037818005682</v>
      </c>
      <c r="C22" s="230"/>
      <c r="D22" s="230"/>
      <c r="E22" s="230"/>
      <c r="F22" s="230"/>
      <c r="G22" s="231"/>
      <c r="H22" s="239"/>
      <c r="I22" s="332"/>
      <c r="J22" s="222">
        <v>0.125892</v>
      </c>
      <c r="K22" s="329">
        <v>41.862623801135165</v>
      </c>
      <c r="L22" s="329">
        <v>44.060511161267286</v>
      </c>
      <c r="M22" s="329">
        <v>46.903853524124003</v>
      </c>
      <c r="N22" s="329">
        <v>50.725912204942368</v>
      </c>
      <c r="O22" s="329">
        <v>56.137068719537496</v>
      </c>
      <c r="P22" s="323"/>
    </row>
    <row r="23" spans="1:16" x14ac:dyDescent="0.2">
      <c r="A23" s="241" t="s">
        <v>466</v>
      </c>
      <c r="B23" s="234">
        <f>B41</f>
        <v>49.375039999999998</v>
      </c>
      <c r="C23" s="234"/>
      <c r="D23" s="234"/>
      <c r="E23" s="234"/>
      <c r="F23" s="234"/>
      <c r="G23" s="235"/>
      <c r="I23" s="330"/>
      <c r="J23" s="222">
        <v>0.13588800000000001</v>
      </c>
      <c r="K23" s="329">
        <v>41.017813093697328</v>
      </c>
      <c r="L23" s="329">
        <v>43.12067880849866</v>
      </c>
      <c r="M23" s="329">
        <v>45.841094457976801</v>
      </c>
      <c r="N23" s="329">
        <v>49.497913413143202</v>
      </c>
      <c r="O23" s="329">
        <v>54.675128459906098</v>
      </c>
      <c r="P23" s="323"/>
    </row>
    <row r="24" spans="1:16" ht="15.75" thickBot="1" x14ac:dyDescent="0.25">
      <c r="A24" s="243" t="s">
        <v>280</v>
      </c>
      <c r="B24" s="187">
        <f>(B22-B23)/B23</f>
        <v>2.158981173495118E-2</v>
      </c>
      <c r="C24" s="244"/>
      <c r="D24" s="244"/>
      <c r="E24" s="244"/>
      <c r="F24" s="244"/>
      <c r="G24" s="244"/>
      <c r="I24" s="333"/>
      <c r="J24" s="334"/>
      <c r="K24" s="335"/>
      <c r="L24" s="335"/>
      <c r="M24" s="335"/>
      <c r="N24" s="335"/>
      <c r="O24" s="335"/>
      <c r="P24" s="336"/>
    </row>
    <row r="25" spans="1:16" ht="12.75" customHeight="1" x14ac:dyDescent="0.2">
      <c r="A25" s="337" t="s">
        <v>281</v>
      </c>
      <c r="B25" s="188" t="str">
        <f>IF((B24&gt;0.1),"BUY",IF(AND((B24&lt;0.1),(B24&gt;0)),"HOLD","SELL"))</f>
        <v>HOLD</v>
      </c>
      <c r="K25" s="415"/>
    </row>
    <row r="26" spans="1:16" ht="12.75" customHeight="1" x14ac:dyDescent="0.2">
      <c r="K26" s="415"/>
      <c r="L26" s="415"/>
      <c r="M26" s="415"/>
      <c r="N26" s="415"/>
    </row>
    <row r="27" spans="1:16" ht="12.75" customHeight="1" x14ac:dyDescent="0.2">
      <c r="K27" s="415"/>
    </row>
    <row r="28" spans="1:16" ht="12.75" customHeight="1" thickBot="1" x14ac:dyDescent="0.25"/>
    <row r="29" spans="1:16" ht="13.5" thickBot="1" x14ac:dyDescent="0.25">
      <c r="A29" s="477" t="s">
        <v>282</v>
      </c>
      <c r="B29" s="478"/>
      <c r="C29" s="478"/>
      <c r="D29" s="478"/>
      <c r="E29" s="478"/>
      <c r="F29" s="478"/>
      <c r="G29" s="434"/>
      <c r="I29" s="315" t="s">
        <v>389</v>
      </c>
      <c r="J29" s="316"/>
      <c r="K29" s="317"/>
      <c r="L29" s="317"/>
      <c r="M29" s="317"/>
      <c r="N29" s="317"/>
      <c r="O29" s="317"/>
      <c r="P29" s="318"/>
    </row>
    <row r="30" spans="1:16" x14ac:dyDescent="0.2">
      <c r="A30" s="437" t="s">
        <v>4</v>
      </c>
      <c r="B30" s="430" t="s">
        <v>127</v>
      </c>
      <c r="C30" s="430" t="s">
        <v>128</v>
      </c>
      <c r="D30" s="430" t="s">
        <v>129</v>
      </c>
      <c r="E30" s="430" t="s">
        <v>130</v>
      </c>
      <c r="F30" s="430" t="s">
        <v>131</v>
      </c>
      <c r="G30" s="438" t="s">
        <v>475</v>
      </c>
      <c r="I30" s="320"/>
      <c r="J30" s="321"/>
      <c r="K30" s="322"/>
      <c r="L30" s="322"/>
      <c r="M30" s="322"/>
      <c r="N30" s="322"/>
      <c r="O30" s="322"/>
      <c r="P30" s="323"/>
    </row>
    <row r="31" spans="1:16" x14ac:dyDescent="0.2">
      <c r="A31" s="319" t="s">
        <v>268</v>
      </c>
      <c r="B31" s="431">
        <v>1</v>
      </c>
      <c r="C31" s="431">
        <v>2</v>
      </c>
      <c r="D31" s="431">
        <v>3</v>
      </c>
      <c r="E31" s="431">
        <v>4</v>
      </c>
      <c r="F31" s="431">
        <v>5</v>
      </c>
      <c r="G31" s="439"/>
      <c r="I31" s="320"/>
      <c r="J31" s="321"/>
      <c r="K31" s="322"/>
      <c r="L31" s="322"/>
      <c r="M31" s="322"/>
      <c r="N31" s="322"/>
      <c r="O31" s="322"/>
      <c r="P31" s="323"/>
    </row>
    <row r="32" spans="1:16" ht="12.75" customHeight="1" thickBot="1" x14ac:dyDescent="0.25">
      <c r="A32" s="319" t="s">
        <v>266</v>
      </c>
      <c r="B32" s="440">
        <f>B9</f>
        <v>9.5735852018333831E-2</v>
      </c>
      <c r="C32" s="431"/>
      <c r="D32" s="431"/>
      <c r="E32" s="431"/>
      <c r="F32" s="431"/>
      <c r="G32" s="439"/>
      <c r="I32" s="324"/>
      <c r="J32" s="325"/>
      <c r="K32" s="479" t="s">
        <v>392</v>
      </c>
      <c r="L32" s="479"/>
      <c r="M32" s="479"/>
      <c r="N32" s="479"/>
      <c r="O32" s="479"/>
      <c r="P32" s="323"/>
    </row>
    <row r="33" spans="1:16" ht="12.75" customHeight="1" x14ac:dyDescent="0.2">
      <c r="A33" s="319" t="s">
        <v>283</v>
      </c>
      <c r="B33" s="432">
        <f>1/(1+B32)</f>
        <v>0.91262871262084799</v>
      </c>
      <c r="C33" s="432">
        <f>1/((1+B32)^2)</f>
        <v>0.83289116709998645</v>
      </c>
      <c r="D33" s="432">
        <f>1/((1+B32)^3)</f>
        <v>0.76012039358373629</v>
      </c>
      <c r="E33" s="432">
        <f>1/((1+B32)^4)</f>
        <v>0.69370769623317752</v>
      </c>
      <c r="F33" s="432">
        <f>1/((1+B32)^5)</f>
        <v>0.6330975617484591</v>
      </c>
      <c r="G33" s="445">
        <f>F33</f>
        <v>0.6330975617484591</v>
      </c>
      <c r="I33" s="326"/>
      <c r="J33" s="327"/>
      <c r="K33" s="480" t="s">
        <v>391</v>
      </c>
      <c r="L33" s="481"/>
      <c r="M33" s="481"/>
      <c r="N33" s="481"/>
      <c r="O33" s="481"/>
      <c r="P33" s="323"/>
    </row>
    <row r="34" spans="1:16" ht="12.75" customHeight="1" x14ac:dyDescent="0.2">
      <c r="A34" s="319" t="s">
        <v>284</v>
      </c>
      <c r="B34" s="432">
        <f>FCF!B24*B33</f>
        <v>4520.328626754067</v>
      </c>
      <c r="C34" s="432">
        <f>FCF!C24*C33</f>
        <v>12503.521553303121</v>
      </c>
      <c r="D34" s="432">
        <f>FCF!D24*D33</f>
        <v>11829.213396822903</v>
      </c>
      <c r="E34" s="432">
        <f>FCF!E24*E33</f>
        <v>12251.069415584177</v>
      </c>
      <c r="F34" s="432">
        <f>FCF!F24*F33</f>
        <v>9898.015661686979</v>
      </c>
      <c r="G34" s="439">
        <f>FCF!F24*(1+'Equity Valuation'!B8)/(('Equity Valuation'!B32-'Equity Valuation'!B8)/G33)</f>
        <v>149746.85964542616</v>
      </c>
      <c r="I34" s="324"/>
      <c r="J34" s="328">
        <f>B38</f>
        <v>200416.0082995774</v>
      </c>
      <c r="K34" s="223">
        <v>7.7999999999999996E-3</v>
      </c>
      <c r="L34" s="223">
        <v>1.78E-2</v>
      </c>
      <c r="M34" s="223">
        <v>2.7799999999999998E-2</v>
      </c>
      <c r="N34" s="223">
        <v>3.78E-2</v>
      </c>
      <c r="O34" s="223">
        <v>4.7800000000000002E-2</v>
      </c>
      <c r="P34" s="323"/>
    </row>
    <row r="35" spans="1:16" ht="12.75" customHeight="1" thickBot="1" x14ac:dyDescent="0.25">
      <c r="A35" s="319" t="s">
        <v>285</v>
      </c>
      <c r="B35" s="440">
        <f>B4</f>
        <v>2.7799999999999998E-2</v>
      </c>
      <c r="C35" s="431"/>
      <c r="D35" s="431"/>
      <c r="E35" s="431"/>
      <c r="F35" s="431"/>
      <c r="G35" s="439"/>
      <c r="I35" s="324"/>
      <c r="J35" s="222">
        <v>8.5699999999999998E-2</v>
      </c>
      <c r="K35" s="338">
        <f t="dataTable" ref="K35:O40" dt2D="1" dtr="1" r1="B8" r2="B9" ca="1"/>
        <v>186279.91169813552</v>
      </c>
      <c r="L35" s="338">
        <v>207553.01810782155</v>
      </c>
      <c r="M35" s="338">
        <v>236174.34780237329</v>
      </c>
      <c r="N35" s="338">
        <v>276746.12830884638</v>
      </c>
      <c r="O35" s="338">
        <v>338727.81937282515</v>
      </c>
      <c r="P35" s="323"/>
    </row>
    <row r="36" spans="1:16" ht="12.75" customHeight="1" thickBot="1" x14ac:dyDescent="0.25">
      <c r="A36" s="319"/>
      <c r="B36" s="431"/>
      <c r="C36" s="431"/>
      <c r="D36" s="431"/>
      <c r="E36" s="431"/>
      <c r="F36" s="431"/>
      <c r="G36" s="439"/>
      <c r="I36" s="330"/>
      <c r="J36" s="222">
        <v>9.5736000000000002E-2</v>
      </c>
      <c r="K36" s="338">
        <v>164106.32462460306</v>
      </c>
      <c r="L36" s="338">
        <v>179931.51542612017</v>
      </c>
      <c r="M36" s="451">
        <v>200415.55891296384</v>
      </c>
      <c r="N36" s="338">
        <v>227970.86844746134</v>
      </c>
      <c r="O36" s="338">
        <v>267022.88589855487</v>
      </c>
      <c r="P36" s="323"/>
    </row>
    <row r="37" spans="1:16" ht="12.75" customHeight="1" x14ac:dyDescent="0.2">
      <c r="A37" s="319" t="s">
        <v>286</v>
      </c>
      <c r="B37" s="432">
        <f>SUM(B34:G34)</f>
        <v>200749.0082995774</v>
      </c>
      <c r="C37" s="431"/>
      <c r="D37" s="431"/>
      <c r="E37" s="431"/>
      <c r="F37" s="431"/>
      <c r="G37" s="439"/>
      <c r="I37" s="339" t="s">
        <v>390</v>
      </c>
      <c r="J37" s="222">
        <v>0.1057</v>
      </c>
      <c r="K37" s="338">
        <v>146596.33174477721</v>
      </c>
      <c r="L37" s="338">
        <v>158751.38008873037</v>
      </c>
      <c r="M37" s="338">
        <v>174027.10836694622</v>
      </c>
      <c r="N37" s="338">
        <v>193802.31478307542</v>
      </c>
      <c r="O37" s="338">
        <v>220408.33515987097</v>
      </c>
      <c r="P37" s="323"/>
    </row>
    <row r="38" spans="1:16" ht="12.75" customHeight="1" x14ac:dyDescent="0.2">
      <c r="A38" s="441" t="s">
        <v>404</v>
      </c>
      <c r="B38" s="432">
        <f>B37-'Discount Factor'!H11</f>
        <v>200416.0082995774</v>
      </c>
      <c r="C38" s="431"/>
      <c r="D38" s="431"/>
      <c r="E38" s="431"/>
      <c r="F38" s="431"/>
      <c r="G38" s="439"/>
      <c r="I38" s="326"/>
      <c r="J38" s="222">
        <v>0.1157</v>
      </c>
      <c r="K38" s="338">
        <v>132281.2248405141</v>
      </c>
      <c r="L38" s="338">
        <v>141832.98979374382</v>
      </c>
      <c r="M38" s="338">
        <v>153558.08010607021</v>
      </c>
      <c r="N38" s="338">
        <v>168293.46318150993</v>
      </c>
      <c r="O38" s="338">
        <v>187369.16527769773</v>
      </c>
      <c r="P38" s="323"/>
    </row>
    <row r="39" spans="1:16" ht="12.75" customHeight="1" x14ac:dyDescent="0.2">
      <c r="A39" s="319" t="s">
        <v>287</v>
      </c>
      <c r="B39" s="432">
        <v>3886267</v>
      </c>
      <c r="C39" s="431"/>
      <c r="D39" s="431"/>
      <c r="E39" s="431"/>
      <c r="F39" s="431"/>
      <c r="G39" s="439"/>
      <c r="I39" s="332"/>
      <c r="J39" s="222">
        <v>0.12570000000000001</v>
      </c>
      <c r="K39" s="338">
        <v>120400.73203973653</v>
      </c>
      <c r="L39" s="338">
        <v>128054.08216019228</v>
      </c>
      <c r="M39" s="338">
        <v>137270.93588033257</v>
      </c>
      <c r="N39" s="338">
        <v>148584.91217615892</v>
      </c>
      <c r="O39" s="338">
        <v>162803.63206526547</v>
      </c>
      <c r="P39" s="323"/>
    </row>
    <row r="40" spans="1:16" ht="12.75" customHeight="1" x14ac:dyDescent="0.2">
      <c r="A40" s="319" t="s">
        <v>288</v>
      </c>
      <c r="B40" s="432">
        <f>(B38/B39)*1000</f>
        <v>51.570313696814296</v>
      </c>
      <c r="C40" s="431"/>
      <c r="D40" s="431"/>
      <c r="E40" s="431"/>
      <c r="F40" s="431"/>
      <c r="G40" s="439"/>
      <c r="I40" s="330"/>
      <c r="J40" s="222">
        <v>0.13569999999999999</v>
      </c>
      <c r="K40" s="338">
        <v>110383.89709876879</v>
      </c>
      <c r="L40" s="338">
        <v>116616.05779410517</v>
      </c>
      <c r="M40" s="338">
        <v>124003.39192694597</v>
      </c>
      <c r="N40" s="338">
        <v>132899.88522890647</v>
      </c>
      <c r="O40" s="338">
        <v>143820.60908876467</v>
      </c>
      <c r="P40" s="323"/>
    </row>
    <row r="41" spans="1:16" ht="12.75" customHeight="1" thickBot="1" x14ac:dyDescent="0.25">
      <c r="A41" s="442" t="s">
        <v>279</v>
      </c>
      <c r="B41" s="443">
        <f>14.3*3.4528</f>
        <v>49.375039999999998</v>
      </c>
      <c r="C41" s="433"/>
      <c r="D41" s="433"/>
      <c r="E41" s="433"/>
      <c r="F41" s="433"/>
      <c r="G41" s="444"/>
      <c r="I41" s="333"/>
      <c r="J41" s="334"/>
      <c r="K41" s="335"/>
      <c r="L41" s="335"/>
      <c r="M41" s="335"/>
      <c r="N41" s="335"/>
      <c r="O41" s="335"/>
      <c r="P41" s="336"/>
    </row>
    <row r="42" spans="1:16" ht="12.75" customHeight="1" thickBot="1" x14ac:dyDescent="0.25">
      <c r="A42" s="435" t="s">
        <v>280</v>
      </c>
      <c r="B42" s="436">
        <f>(B40-B41)/B41</f>
        <v>4.446120340994756E-2</v>
      </c>
      <c r="C42" s="431"/>
      <c r="D42" s="431"/>
      <c r="E42" s="431"/>
      <c r="F42" s="431"/>
      <c r="G42" s="431"/>
      <c r="I42" s="340"/>
      <c r="J42" s="341"/>
      <c r="K42" s="338"/>
      <c r="L42" s="338"/>
      <c r="M42" s="338"/>
      <c r="N42" s="338"/>
      <c r="O42" s="338"/>
      <c r="P42" s="314"/>
    </row>
    <row r="43" spans="1:16" ht="12.75" customHeight="1" thickBot="1" x14ac:dyDescent="0.25">
      <c r="A43" s="245" t="s">
        <v>281</v>
      </c>
      <c r="B43" s="246" t="str">
        <f>IF((B42&gt;0.1),"BUY",IF(AND((B42&lt;0.1),(B42&gt;0)),"HOLD","SELL"))</f>
        <v>HOLD</v>
      </c>
      <c r="I43" s="315" t="s">
        <v>389</v>
      </c>
      <c r="J43" s="316"/>
      <c r="K43" s="317"/>
      <c r="L43" s="317"/>
      <c r="M43" s="317"/>
      <c r="N43" s="317"/>
      <c r="O43" s="317"/>
      <c r="P43" s="318"/>
    </row>
    <row r="44" spans="1:16" ht="12.75" customHeight="1" x14ac:dyDescent="0.2">
      <c r="I44" s="320"/>
      <c r="J44" s="321"/>
      <c r="K44" s="322"/>
      <c r="L44" s="322"/>
      <c r="M44" s="322"/>
      <c r="N44" s="322"/>
      <c r="O44" s="322"/>
      <c r="P44" s="323"/>
    </row>
    <row r="45" spans="1:16" ht="12.75" customHeight="1" thickBot="1" x14ac:dyDescent="0.25">
      <c r="I45" s="324"/>
      <c r="J45" s="325"/>
      <c r="K45" s="479" t="s">
        <v>395</v>
      </c>
      <c r="L45" s="479"/>
      <c r="M45" s="479"/>
      <c r="N45" s="479"/>
      <c r="O45" s="479"/>
      <c r="P45" s="323"/>
    </row>
    <row r="46" spans="1:16" ht="12.75" customHeight="1" x14ac:dyDescent="0.2">
      <c r="I46" s="326"/>
      <c r="J46" s="327"/>
      <c r="K46" s="480" t="s">
        <v>391</v>
      </c>
      <c r="L46" s="481"/>
      <c r="M46" s="481"/>
      <c r="N46" s="481"/>
      <c r="O46" s="481"/>
      <c r="P46" s="323"/>
    </row>
    <row r="47" spans="1:16" ht="12.75" customHeight="1" x14ac:dyDescent="0.2">
      <c r="I47" s="324"/>
      <c r="J47" s="328">
        <f>B40</f>
        <v>51.570313696814296</v>
      </c>
      <c r="K47" s="223">
        <v>7.7999999999999996E-3</v>
      </c>
      <c r="L47" s="223">
        <v>1.78E-2</v>
      </c>
      <c r="M47" s="223">
        <v>2.7799999999999998E-2</v>
      </c>
      <c r="N47" s="223">
        <v>3.78E-2</v>
      </c>
      <c r="O47" s="223">
        <v>4.7800000000000002E-2</v>
      </c>
      <c r="P47" s="323"/>
    </row>
    <row r="48" spans="1:16" ht="12.75" customHeight="1" thickBot="1" x14ac:dyDescent="0.25">
      <c r="I48" s="324"/>
      <c r="J48" s="222">
        <v>8.5699999999999998E-2</v>
      </c>
      <c r="K48" s="329">
        <f t="dataTable" ref="K48:O53" dt2D="1" dtr="1" r1="B8" r2="B9"/>
        <v>47.932865060001156</v>
      </c>
      <c r="L48" s="329">
        <v>53.406782937925151</v>
      </c>
      <c r="M48" s="329">
        <v>60.77151873568473</v>
      </c>
      <c r="N48" s="329">
        <v>71.211300795556866</v>
      </c>
      <c r="O48" s="329">
        <v>87.160202675942017</v>
      </c>
      <c r="P48" s="323"/>
    </row>
    <row r="49" spans="1:16" ht="12.75" customHeight="1" thickBot="1" x14ac:dyDescent="0.25">
      <c r="I49" s="330"/>
      <c r="J49" s="222">
        <v>9.5736000000000002E-2</v>
      </c>
      <c r="K49" s="329">
        <v>42.227238793578273</v>
      </c>
      <c r="L49" s="329">
        <v>46.299318967564545</v>
      </c>
      <c r="M49" s="331">
        <v>51.570198062295731</v>
      </c>
      <c r="N49" s="329">
        <v>58.660629454296718</v>
      </c>
      <c r="O49" s="329">
        <v>68.709351647366191</v>
      </c>
      <c r="P49" s="323"/>
    </row>
    <row r="50" spans="1:16" ht="12.75" customHeight="1" x14ac:dyDescent="0.2">
      <c r="I50" s="339" t="s">
        <v>390</v>
      </c>
      <c r="J50" s="222">
        <v>0.1057</v>
      </c>
      <c r="K50" s="329">
        <v>37.721631515481874</v>
      </c>
      <c r="L50" s="329">
        <v>40.849324065672882</v>
      </c>
      <c r="M50" s="329">
        <v>44.780018554295474</v>
      </c>
      <c r="N50" s="329">
        <v>49.868502288462274</v>
      </c>
      <c r="O50" s="329">
        <v>56.714666068973379</v>
      </c>
      <c r="P50" s="323"/>
    </row>
    <row r="51" spans="1:16" ht="12.75" customHeight="1" x14ac:dyDescent="0.2">
      <c r="I51" s="326"/>
      <c r="J51" s="222">
        <v>0.1157</v>
      </c>
      <c r="K51" s="329">
        <v>34.038120602756862</v>
      </c>
      <c r="L51" s="329">
        <v>36.495945799334891</v>
      </c>
      <c r="M51" s="329">
        <v>39.513003122551851</v>
      </c>
      <c r="N51" s="329">
        <v>43.304657961357243</v>
      </c>
      <c r="O51" s="329">
        <v>48.213147804229031</v>
      </c>
      <c r="P51" s="323"/>
    </row>
    <row r="52" spans="1:16" ht="12.75" customHeight="1" x14ac:dyDescent="0.2">
      <c r="I52" s="332"/>
      <c r="J52" s="222">
        <v>0.12570000000000001</v>
      </c>
      <c r="K52" s="329">
        <v>30.981075680012854</v>
      </c>
      <c r="L52" s="329">
        <v>32.950407720363081</v>
      </c>
      <c r="M52" s="329">
        <v>35.322054784278222</v>
      </c>
      <c r="N52" s="329">
        <v>38.233325753521029</v>
      </c>
      <c r="O52" s="329">
        <v>41.892034712299868</v>
      </c>
      <c r="P52" s="323"/>
    </row>
    <row r="53" spans="1:16" ht="12.75" customHeight="1" x14ac:dyDescent="0.2">
      <c r="G53" s="220" t="s">
        <v>474</v>
      </c>
      <c r="I53" s="330"/>
      <c r="J53" s="222">
        <v>0.13569999999999999</v>
      </c>
      <c r="K53" s="329">
        <v>28.403580376430337</v>
      </c>
      <c r="L53" s="329">
        <v>30.007217155719147</v>
      </c>
      <c r="M53" s="329">
        <v>31.908098935802911</v>
      </c>
      <c r="N53" s="329">
        <v>34.197312029489083</v>
      </c>
      <c r="O53" s="329">
        <v>37.007392721283601</v>
      </c>
      <c r="P53" s="323"/>
    </row>
    <row r="54" spans="1:16" ht="12.75" customHeight="1" thickBot="1" x14ac:dyDescent="0.25">
      <c r="I54" s="333"/>
      <c r="J54" s="334"/>
      <c r="K54" s="335"/>
      <c r="L54" s="335"/>
      <c r="M54" s="335"/>
      <c r="N54" s="335"/>
      <c r="O54" s="335"/>
      <c r="P54" s="336"/>
    </row>
    <row r="56" spans="1:16" ht="12.75" customHeight="1" x14ac:dyDescent="0.2">
      <c r="A56" s="342" t="s">
        <v>470</v>
      </c>
      <c r="B56" s="342"/>
      <c r="C56" s="342"/>
      <c r="D56" s="342"/>
      <c r="E56" s="342"/>
      <c r="F56" s="342"/>
      <c r="G56" s="342"/>
      <c r="H56" s="342"/>
      <c r="I56" s="342"/>
      <c r="K56" s="415"/>
      <c r="L56" s="415"/>
      <c r="M56" s="415"/>
    </row>
    <row r="57" spans="1:16" ht="12.75" customHeight="1" x14ac:dyDescent="0.2">
      <c r="A57" s="343" t="s">
        <v>289</v>
      </c>
      <c r="B57" s="344" t="s">
        <v>290</v>
      </c>
      <c r="C57" s="344" t="s">
        <v>291</v>
      </c>
      <c r="D57" s="344" t="s">
        <v>292</v>
      </c>
      <c r="E57" s="344" t="s">
        <v>293</v>
      </c>
      <c r="F57" s="344" t="s">
        <v>294</v>
      </c>
      <c r="G57" s="344" t="s">
        <v>295</v>
      </c>
      <c r="H57" s="344" t="s">
        <v>296</v>
      </c>
      <c r="I57" s="345" t="s">
        <v>297</v>
      </c>
      <c r="K57" s="415"/>
    </row>
    <row r="58" spans="1:16" ht="12.75" customHeight="1" x14ac:dyDescent="0.2">
      <c r="A58" s="239" t="s">
        <v>298</v>
      </c>
      <c r="B58" s="220" t="s">
        <v>133</v>
      </c>
      <c r="C58" s="346">
        <v>6.12</v>
      </c>
      <c r="D58" s="346">
        <v>0.43</v>
      </c>
      <c r="E58" s="346">
        <v>0.18</v>
      </c>
      <c r="F58" s="346">
        <v>4.54</v>
      </c>
      <c r="G58" s="346">
        <v>0.26</v>
      </c>
      <c r="H58" s="346">
        <v>0</v>
      </c>
      <c r="I58" s="347">
        <v>0.15939999999999999</v>
      </c>
    </row>
    <row r="59" spans="1:16" ht="12.75" customHeight="1" x14ac:dyDescent="0.2">
      <c r="A59" s="239" t="s">
        <v>299</v>
      </c>
      <c r="B59" s="220" t="s">
        <v>300</v>
      </c>
      <c r="C59" s="346">
        <v>2.21</v>
      </c>
      <c r="D59" s="346">
        <v>0.76</v>
      </c>
      <c r="E59" s="346">
        <v>0.33</v>
      </c>
      <c r="F59" s="346">
        <v>11.56</v>
      </c>
      <c r="G59" s="346">
        <v>0.65</v>
      </c>
      <c r="H59" s="346" t="s">
        <v>301</v>
      </c>
      <c r="I59" s="347">
        <v>0.43190000000000001</v>
      </c>
    </row>
    <row r="60" spans="1:16" ht="12.75" customHeight="1" x14ac:dyDescent="0.2">
      <c r="A60" s="239" t="s">
        <v>302</v>
      </c>
      <c r="B60" s="220" t="s">
        <v>303</v>
      </c>
      <c r="C60" s="346" t="s">
        <v>301</v>
      </c>
      <c r="D60" s="346">
        <v>0.91</v>
      </c>
      <c r="E60" s="346">
        <v>0.51</v>
      </c>
      <c r="F60" s="346">
        <v>9.42</v>
      </c>
      <c r="G60" s="346">
        <v>0.98</v>
      </c>
      <c r="H60" s="346">
        <v>0</v>
      </c>
      <c r="I60" s="347">
        <v>0.47149999999999997</v>
      </c>
    </row>
    <row r="61" spans="1:16" ht="12.75" customHeight="1" x14ac:dyDescent="0.2">
      <c r="A61" s="239" t="s">
        <v>304</v>
      </c>
      <c r="B61" s="220" t="s">
        <v>303</v>
      </c>
      <c r="C61" s="346">
        <v>6.82</v>
      </c>
      <c r="D61" s="346">
        <v>0.16</v>
      </c>
      <c r="E61" s="346">
        <v>0.04</v>
      </c>
      <c r="F61" s="346">
        <v>6.27</v>
      </c>
      <c r="G61" s="346">
        <v>0.35</v>
      </c>
      <c r="H61" s="346" t="s">
        <v>301</v>
      </c>
      <c r="I61" s="347">
        <v>0.54600000000000004</v>
      </c>
    </row>
    <row r="62" spans="1:16" ht="12.75" customHeight="1" x14ac:dyDescent="0.2">
      <c r="A62" s="239" t="s">
        <v>305</v>
      </c>
      <c r="B62" s="220" t="s">
        <v>306</v>
      </c>
      <c r="C62" s="346" t="s">
        <v>301</v>
      </c>
      <c r="D62" s="346" t="s">
        <v>301</v>
      </c>
      <c r="E62" s="346">
        <v>0.28000000000000003</v>
      </c>
      <c r="F62" s="346" t="s">
        <v>301</v>
      </c>
      <c r="G62" s="346">
        <v>0.28000000000000003</v>
      </c>
      <c r="H62" s="346" t="s">
        <v>301</v>
      </c>
      <c r="I62" s="347" t="s">
        <v>301</v>
      </c>
    </row>
    <row r="63" spans="1:16" ht="12.75" customHeight="1" x14ac:dyDescent="0.2">
      <c r="A63" s="239" t="s">
        <v>307</v>
      </c>
      <c r="B63" s="220" t="s">
        <v>308</v>
      </c>
      <c r="C63" s="346">
        <v>8.86</v>
      </c>
      <c r="D63" s="346">
        <v>0.94</v>
      </c>
      <c r="E63" s="346">
        <v>0.65</v>
      </c>
      <c r="F63" s="346">
        <v>8.9600000000000009</v>
      </c>
      <c r="G63" s="346">
        <v>0.72</v>
      </c>
      <c r="H63" s="348">
        <v>0.56850000000000001</v>
      </c>
      <c r="I63" s="347">
        <v>0.14169999999999999</v>
      </c>
    </row>
    <row r="64" spans="1:16" ht="12.75" customHeight="1" x14ac:dyDescent="0.2">
      <c r="A64" s="239" t="s">
        <v>309</v>
      </c>
      <c r="B64" s="220" t="s">
        <v>308</v>
      </c>
      <c r="C64" s="346">
        <v>34.14</v>
      </c>
      <c r="D64" s="346">
        <v>0.66</v>
      </c>
      <c r="E64" s="346">
        <v>0.35</v>
      </c>
      <c r="F64" s="346">
        <v>7.43</v>
      </c>
      <c r="G64" s="346">
        <v>0.62</v>
      </c>
      <c r="H64" s="348">
        <v>0.30990000000000001</v>
      </c>
      <c r="I64" s="347">
        <v>0.3427</v>
      </c>
    </row>
    <row r="65" spans="1:9" ht="12.75" customHeight="1" x14ac:dyDescent="0.2">
      <c r="A65" s="239" t="s">
        <v>310</v>
      </c>
      <c r="B65" s="220" t="s">
        <v>308</v>
      </c>
      <c r="C65" s="346">
        <v>9.02</v>
      </c>
      <c r="D65" s="346">
        <v>0.77</v>
      </c>
      <c r="E65" s="346">
        <v>1.27</v>
      </c>
      <c r="F65" s="346">
        <v>14.42</v>
      </c>
      <c r="G65" s="346">
        <v>1.68</v>
      </c>
      <c r="H65" s="348">
        <v>0</v>
      </c>
      <c r="I65" s="347">
        <v>0.22869999999999999</v>
      </c>
    </row>
    <row r="66" spans="1:9" ht="12.75" customHeight="1" x14ac:dyDescent="0.2">
      <c r="A66" s="241" t="s">
        <v>311</v>
      </c>
      <c r="B66" s="242" t="s">
        <v>312</v>
      </c>
      <c r="C66" s="349">
        <v>11.27</v>
      </c>
      <c r="D66" s="349">
        <v>1.84</v>
      </c>
      <c r="E66" s="349">
        <v>0.57999999999999996</v>
      </c>
      <c r="F66" s="349">
        <v>6.83</v>
      </c>
      <c r="G66" s="349">
        <v>0.62</v>
      </c>
      <c r="H66" s="350">
        <v>0.15079999999999999</v>
      </c>
      <c r="I66" s="351">
        <v>0.15529999999999999</v>
      </c>
    </row>
    <row r="67" spans="1:9" ht="12.75" customHeight="1" x14ac:dyDescent="0.2">
      <c r="A67" s="352"/>
      <c r="B67" s="353"/>
      <c r="C67" s="354"/>
      <c r="D67" s="354"/>
      <c r="E67" s="354"/>
      <c r="F67" s="354"/>
      <c r="G67" s="354"/>
      <c r="H67" s="354"/>
      <c r="I67" s="355"/>
    </row>
    <row r="68" spans="1:9" ht="12.75" customHeight="1" x14ac:dyDescent="0.2">
      <c r="A68" s="356" t="s">
        <v>313</v>
      </c>
      <c r="B68" s="243"/>
      <c r="C68" s="357">
        <f t="shared" ref="C68:I68" si="1">MAX(C58:C66)</f>
        <v>34.14</v>
      </c>
      <c r="D68" s="357">
        <f t="shared" si="1"/>
        <v>1.84</v>
      </c>
      <c r="E68" s="357">
        <f t="shared" si="1"/>
        <v>1.27</v>
      </c>
      <c r="F68" s="357">
        <f t="shared" si="1"/>
        <v>14.42</v>
      </c>
      <c r="G68" s="357">
        <f t="shared" si="1"/>
        <v>1.68</v>
      </c>
      <c r="H68" s="358">
        <f t="shared" si="1"/>
        <v>0.56850000000000001</v>
      </c>
      <c r="I68" s="359">
        <f t="shared" si="1"/>
        <v>0.54600000000000004</v>
      </c>
    </row>
    <row r="69" spans="1:9" ht="12.75" customHeight="1" x14ac:dyDescent="0.2">
      <c r="A69" s="360" t="s">
        <v>260</v>
      </c>
      <c r="B69" s="361"/>
      <c r="C69" s="362">
        <f t="shared" ref="C69:I69" si="2">AVERAGE(C58:C66)</f>
        <v>11.205714285714285</v>
      </c>
      <c r="D69" s="362">
        <f t="shared" si="2"/>
        <v>0.80875000000000008</v>
      </c>
      <c r="E69" s="362">
        <f t="shared" si="2"/>
        <v>0.46555555555555561</v>
      </c>
      <c r="F69" s="362">
        <f t="shared" si="2"/>
        <v>8.6787500000000009</v>
      </c>
      <c r="G69" s="362">
        <f t="shared" si="2"/>
        <v>0.68444444444444441</v>
      </c>
      <c r="H69" s="363">
        <f t="shared" si="2"/>
        <v>0.17153333333333334</v>
      </c>
      <c r="I69" s="364">
        <f t="shared" si="2"/>
        <v>0.30964999999999998</v>
      </c>
    </row>
    <row r="70" spans="1:9" ht="12.75" customHeight="1" x14ac:dyDescent="0.2">
      <c r="A70" s="365" t="s">
        <v>314</v>
      </c>
      <c r="B70" s="366"/>
      <c r="C70" s="367">
        <f t="shared" ref="C70:I70" si="3">MEDIAN(C58:C66)</f>
        <v>8.86</v>
      </c>
      <c r="D70" s="368">
        <f t="shared" si="3"/>
        <v>0.76500000000000001</v>
      </c>
      <c r="E70" s="368">
        <f t="shared" si="3"/>
        <v>0.35</v>
      </c>
      <c r="F70" s="368">
        <f t="shared" si="3"/>
        <v>8.1950000000000003</v>
      </c>
      <c r="G70" s="368">
        <f t="shared" si="3"/>
        <v>0.62</v>
      </c>
      <c r="H70" s="369">
        <f t="shared" si="3"/>
        <v>7.5399999999999995E-2</v>
      </c>
      <c r="I70" s="370">
        <f t="shared" si="3"/>
        <v>0.28570000000000001</v>
      </c>
    </row>
    <row r="71" spans="1:9" ht="12.75" customHeight="1" x14ac:dyDescent="0.2">
      <c r="A71" s="371" t="s">
        <v>315</v>
      </c>
      <c r="B71" s="372"/>
      <c r="C71" s="373">
        <f t="shared" ref="C71:I71" si="4">MIN(C58:C66)</f>
        <v>2.21</v>
      </c>
      <c r="D71" s="373">
        <f t="shared" si="4"/>
        <v>0.16</v>
      </c>
      <c r="E71" s="373">
        <f t="shared" si="4"/>
        <v>0.04</v>
      </c>
      <c r="F71" s="373">
        <f t="shared" si="4"/>
        <v>4.54</v>
      </c>
      <c r="G71" s="373">
        <f t="shared" si="4"/>
        <v>0.26</v>
      </c>
      <c r="H71" s="374">
        <f t="shared" si="4"/>
        <v>0</v>
      </c>
      <c r="I71" s="375">
        <f t="shared" si="4"/>
        <v>0.14169999999999999</v>
      </c>
    </row>
    <row r="72" spans="1:9" ht="12.75" customHeight="1" x14ac:dyDescent="0.2">
      <c r="A72" s="353"/>
      <c r="B72" s="353"/>
      <c r="C72" s="354"/>
      <c r="D72" s="354"/>
      <c r="E72" s="354"/>
      <c r="F72" s="354"/>
      <c r="G72" s="354"/>
      <c r="H72" s="354"/>
      <c r="I72" s="354"/>
    </row>
    <row r="73" spans="1:9" ht="12.75" customHeight="1" x14ac:dyDescent="0.2">
      <c r="A73" s="376" t="s">
        <v>316</v>
      </c>
      <c r="B73" s="353" t="s">
        <v>133</v>
      </c>
      <c r="C73" s="103">
        <f>B41/(('Source Data'!N81*1000)/B39)</f>
        <v>7.1505343236698335</v>
      </c>
      <c r="D73" s="103">
        <f>(B39*B41)/(1000*'Source Data'!F10)</f>
        <v>2.6647676449238973</v>
      </c>
      <c r="E73" s="103">
        <f>'Source Data'!F10/'Source Data'!C10</f>
        <v>0.31288644787326031</v>
      </c>
      <c r="F73" s="103">
        <f>'Source Data'!D10/((('Source Data'!M81+'Source Data'!D81)+'Source Data'!F81)+'Source Data'!H81)</f>
        <v>2.809154427491801</v>
      </c>
      <c r="G73" s="103">
        <f>'Source Data'!D10/'Source Data'!C10</f>
        <v>0.4280115233704555</v>
      </c>
      <c r="H73" s="377">
        <f>('Source Data'!L65/'Equity Valuation'!B39)/((('Source Data'!N81*1000)/'Equity Valuation'!B39)/100)</f>
        <v>0.14482206074156884</v>
      </c>
      <c r="I73" s="378">
        <f>'Source Data'!E10/'Source Data'!F10</f>
        <v>0.36794522830796578</v>
      </c>
    </row>
    <row r="74" spans="1:9" ht="12.75" customHeight="1" x14ac:dyDescent="0.2">
      <c r="A74" s="379"/>
      <c r="B74" s="379"/>
      <c r="C74" s="379"/>
      <c r="D74" s="379"/>
      <c r="E74" s="379"/>
      <c r="F74" s="379"/>
      <c r="G74" s="379"/>
      <c r="H74" s="379"/>
      <c r="I74" s="379"/>
    </row>
    <row r="75" spans="1:9" ht="12.75" customHeight="1" x14ac:dyDescent="0.2">
      <c r="A75" s="291"/>
      <c r="B75" s="291"/>
      <c r="C75" s="291"/>
      <c r="D75" s="291"/>
      <c r="E75" s="291"/>
      <c r="F75" s="291"/>
      <c r="G75" s="291"/>
      <c r="H75" s="291"/>
      <c r="I75" s="291"/>
    </row>
    <row r="76" spans="1:9" ht="12.75" customHeight="1" thickBot="1" x14ac:dyDescent="0.25">
      <c r="A76" s="291"/>
      <c r="B76" s="380"/>
      <c r="C76" s="380"/>
      <c r="D76" s="380"/>
      <c r="E76" s="380"/>
      <c r="F76" s="291"/>
      <c r="G76" s="291"/>
      <c r="H76" s="291"/>
      <c r="I76" s="291"/>
    </row>
    <row r="77" spans="1:9" ht="12.75" customHeight="1" x14ac:dyDescent="0.2">
      <c r="A77" s="286" t="s">
        <v>456</v>
      </c>
      <c r="B77" s="287">
        <f>14.3*3.4528</f>
        <v>49.375039999999998</v>
      </c>
      <c r="C77" s="380"/>
      <c r="F77" s="291"/>
      <c r="G77" s="291"/>
      <c r="H77" s="291"/>
      <c r="I77" s="291"/>
    </row>
    <row r="78" spans="1:9" ht="12.75" customHeight="1" x14ac:dyDescent="0.2">
      <c r="A78" s="288" t="s">
        <v>457</v>
      </c>
      <c r="B78" s="289">
        <f>('Source Data'!N81*1000)/'Equity Valuation'!B39</f>
        <v>6.9050839790472454</v>
      </c>
      <c r="C78" s="291"/>
      <c r="F78" s="291"/>
      <c r="G78" s="291"/>
      <c r="H78" s="291"/>
      <c r="I78" s="291"/>
    </row>
    <row r="79" spans="1:9" ht="12.75" customHeight="1" x14ac:dyDescent="0.2">
      <c r="A79" s="288" t="s">
        <v>458</v>
      </c>
      <c r="B79" s="290">
        <f>B78*C70</f>
        <v>61.179044054358592</v>
      </c>
      <c r="C79" s="381"/>
      <c r="F79" s="381"/>
      <c r="G79" s="382"/>
      <c r="H79" s="381"/>
      <c r="I79" s="381"/>
    </row>
    <row r="80" spans="1:9" ht="12.75" customHeight="1" thickBot="1" x14ac:dyDescent="0.25">
      <c r="A80" s="228" t="s">
        <v>459</v>
      </c>
      <c r="B80" s="292">
        <f>(B79-B77)/B77</f>
        <v>0.23906824286843298</v>
      </c>
      <c r="C80" s="291"/>
      <c r="F80" s="291"/>
      <c r="G80" s="291"/>
      <c r="H80" s="291"/>
      <c r="I80" s="291"/>
    </row>
    <row r="81" spans="1:9" ht="12.75" customHeight="1" x14ac:dyDescent="0.2">
      <c r="A81" s="294" t="s">
        <v>471</v>
      </c>
      <c r="B81" s="293" t="str">
        <f>IF((B80&gt;0.1),"Undervalued (BUY)",IF(AND((B80&lt;0.1),(B80&gt;0)),"HOLD","Overvalued (SELL)"))</f>
        <v>Undervalued (BUY)</v>
      </c>
      <c r="C81" s="291"/>
      <c r="F81" s="291"/>
      <c r="G81" s="291"/>
      <c r="H81" s="291"/>
      <c r="I81" s="291"/>
    </row>
    <row r="82" spans="1:9" ht="12.75" customHeight="1" x14ac:dyDescent="0.2">
      <c r="A82" s="220" t="s">
        <v>474</v>
      </c>
    </row>
    <row r="83" spans="1:9" ht="12.75" customHeight="1" x14ac:dyDescent="0.2">
      <c r="A83" s="389"/>
      <c r="B83" s="390"/>
      <c r="C83" s="314"/>
    </row>
    <row r="84" spans="1:9" ht="12.75" customHeight="1" x14ac:dyDescent="0.2">
      <c r="A84" s="386"/>
      <c r="B84" s="387"/>
      <c r="C84" s="314"/>
    </row>
    <row r="85" spans="1:9" ht="12.75" customHeight="1" x14ac:dyDescent="0.2">
      <c r="A85" s="386"/>
      <c r="B85" s="387"/>
      <c r="C85" s="314"/>
    </row>
    <row r="86" spans="1:9" ht="12.75" customHeight="1" x14ac:dyDescent="0.2">
      <c r="A86" s="386"/>
      <c r="B86" s="388"/>
      <c r="C86" s="314"/>
    </row>
    <row r="87" spans="1:9" ht="12.75" customHeight="1" x14ac:dyDescent="0.2">
      <c r="A87" s="389"/>
      <c r="B87" s="391"/>
      <c r="C87" s="314"/>
    </row>
    <row r="88" spans="1:9" ht="12.75" customHeight="1" x14ac:dyDescent="0.2">
      <c r="A88" s="314"/>
      <c r="B88" s="314"/>
      <c r="C88" s="314"/>
    </row>
    <row r="89" spans="1:9" ht="12.75" customHeight="1" x14ac:dyDescent="0.2">
      <c r="A89" s="314"/>
      <c r="B89" s="314"/>
      <c r="C89" s="314"/>
    </row>
    <row r="90" spans="1:9" ht="12.75" customHeight="1" x14ac:dyDescent="0.2">
      <c r="A90" s="314"/>
      <c r="B90" s="314"/>
      <c r="C90" s="314"/>
    </row>
  </sheetData>
  <mergeCells count="10">
    <mergeCell ref="A1:G1"/>
    <mergeCell ref="A29:F29"/>
    <mergeCell ref="K45:O45"/>
    <mergeCell ref="K46:O46"/>
    <mergeCell ref="K15:O15"/>
    <mergeCell ref="A13:G13"/>
    <mergeCell ref="K32:O32"/>
    <mergeCell ref="K33:O33"/>
    <mergeCell ref="K16:O16"/>
    <mergeCell ref="I20:I21"/>
  </mergeCells>
  <hyperlinks>
    <hyperlink ref="C4" r:id="rId1"/>
  </hyperlinks>
  <pageMargins left="0.7" right="0.7" top="0.75" bottom="0.75" header="0.3" footer="0.3"/>
  <pageSetup paperSize="9" orientation="portrait"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43"/>
  <sheetViews>
    <sheetView zoomScale="85" zoomScaleNormal="85" workbookViewId="0">
      <selection activeCell="M30" sqref="M30"/>
    </sheetView>
  </sheetViews>
  <sheetFormatPr defaultRowHeight="12.75" x14ac:dyDescent="0.2"/>
  <cols>
    <col min="1" max="1" width="35" customWidth="1"/>
    <col min="3" max="3" width="11.28515625" customWidth="1"/>
    <col min="4" max="4" width="11.7109375" customWidth="1"/>
    <col min="5" max="5" width="19" customWidth="1"/>
    <col min="6" max="6" width="22.42578125" customWidth="1"/>
    <col min="7" max="7" width="14.28515625" customWidth="1"/>
    <col min="8" max="8" width="14.7109375" customWidth="1"/>
    <col min="9" max="9" width="14" customWidth="1"/>
  </cols>
  <sheetData>
    <row r="1" spans="1:9" ht="15.75" x14ac:dyDescent="0.25">
      <c r="A1" s="295"/>
      <c r="B1" s="295"/>
      <c r="C1" s="486" t="s">
        <v>328</v>
      </c>
      <c r="D1" s="486"/>
      <c r="E1" s="486"/>
      <c r="F1" s="486" t="s">
        <v>455</v>
      </c>
      <c r="G1" s="486"/>
      <c r="H1" s="486" t="s">
        <v>366</v>
      </c>
      <c r="I1" s="486"/>
    </row>
    <row r="2" spans="1:9" ht="15.75" x14ac:dyDescent="0.25">
      <c r="A2" s="296" t="s">
        <v>289</v>
      </c>
      <c r="B2" s="296" t="s">
        <v>290</v>
      </c>
      <c r="C2" s="296" t="s">
        <v>454</v>
      </c>
      <c r="D2" s="296" t="s">
        <v>453</v>
      </c>
      <c r="E2" s="296" t="s">
        <v>452</v>
      </c>
      <c r="F2" s="296" t="s">
        <v>451</v>
      </c>
      <c r="G2" s="296" t="s">
        <v>386</v>
      </c>
      <c r="H2" s="296" t="s">
        <v>450</v>
      </c>
      <c r="I2" s="296" t="s">
        <v>449</v>
      </c>
    </row>
    <row r="3" spans="1:9" ht="15.75" x14ac:dyDescent="0.25">
      <c r="A3" s="297" t="s">
        <v>448</v>
      </c>
      <c r="B3" s="298" t="s">
        <v>410</v>
      </c>
      <c r="C3" s="299">
        <v>95.273333333333355</v>
      </c>
      <c r="D3" s="299">
        <v>25.304999999999996</v>
      </c>
      <c r="E3" s="299">
        <v>22.290000000000003</v>
      </c>
      <c r="F3" s="299">
        <v>23.705333333333332</v>
      </c>
      <c r="G3" s="299">
        <v>18.185333333333332</v>
      </c>
      <c r="H3" s="299">
        <v>0.94766666666666666</v>
      </c>
      <c r="I3" s="299">
        <v>0.85000000000000009</v>
      </c>
    </row>
    <row r="4" spans="1:9" ht="15.75" x14ac:dyDescent="0.25">
      <c r="A4" s="297" t="s">
        <v>447</v>
      </c>
      <c r="B4" s="300" t="s">
        <v>417</v>
      </c>
      <c r="C4" s="301">
        <v>23.541666666666668</v>
      </c>
      <c r="D4" s="301">
        <v>9.8830000000000009</v>
      </c>
      <c r="E4" s="301">
        <v>6.0716666666666663</v>
      </c>
      <c r="F4" s="301">
        <v>34.721333333333334</v>
      </c>
      <c r="G4" s="301">
        <v>20.160333333333334</v>
      </c>
      <c r="H4" s="301">
        <v>1.2833333333333334</v>
      </c>
      <c r="I4" s="301">
        <v>0.95666666666666667</v>
      </c>
    </row>
    <row r="5" spans="1:9" ht="15.75" x14ac:dyDescent="0.25">
      <c r="A5" s="297" t="s">
        <v>446</v>
      </c>
      <c r="B5" s="300" t="s">
        <v>410</v>
      </c>
      <c r="C5" s="302">
        <v>-10.718</v>
      </c>
      <c r="D5" s="303">
        <v>-2.3819999999999997</v>
      </c>
      <c r="E5" s="304">
        <v>-2.0030000000000001</v>
      </c>
      <c r="F5" s="304">
        <v>0</v>
      </c>
      <c r="G5" s="304">
        <v>12.372</v>
      </c>
      <c r="H5" s="304">
        <v>1.9224999999999999</v>
      </c>
      <c r="I5" s="304">
        <v>0.98899999999999999</v>
      </c>
    </row>
    <row r="6" spans="1:9" ht="15.75" x14ac:dyDescent="0.25">
      <c r="A6" s="297" t="s">
        <v>445</v>
      </c>
      <c r="B6" s="300" t="s">
        <v>417</v>
      </c>
      <c r="C6" s="303">
        <v>7.3116666666666665</v>
      </c>
      <c r="D6" s="303">
        <v>2.4159999999999999</v>
      </c>
      <c r="E6" s="303">
        <v>1.5633333333333335</v>
      </c>
      <c r="F6" s="303">
        <v>23.923000000000002</v>
      </c>
      <c r="G6" s="303">
        <v>15.473333333333334</v>
      </c>
      <c r="H6" s="303">
        <v>0.81566666666666665</v>
      </c>
      <c r="I6" s="303">
        <v>0.50033333333333341</v>
      </c>
    </row>
    <row r="7" spans="1:9" ht="15.75" x14ac:dyDescent="0.25">
      <c r="A7" s="297" t="s">
        <v>444</v>
      </c>
      <c r="B7" s="300" t="s">
        <v>410</v>
      </c>
      <c r="C7" s="303">
        <v>-45.823333333333331</v>
      </c>
      <c r="D7" s="303">
        <v>-6.6823333333333323</v>
      </c>
      <c r="E7" s="303">
        <v>-5.61</v>
      </c>
      <c r="F7" s="303">
        <v>2.0833333333333335</v>
      </c>
      <c r="G7" s="303">
        <v>19.165000000000003</v>
      </c>
      <c r="H7" s="303">
        <v>2.0089999999999999</v>
      </c>
      <c r="I7" s="303">
        <v>1.3036666666666665</v>
      </c>
    </row>
    <row r="8" spans="1:9" ht="15.75" x14ac:dyDescent="0.25">
      <c r="A8" s="297" t="s">
        <v>443</v>
      </c>
      <c r="B8" s="300" t="s">
        <v>408</v>
      </c>
      <c r="C8" s="303">
        <v>10.974666666666664</v>
      </c>
      <c r="D8" s="303">
        <v>8.9030000000000005</v>
      </c>
      <c r="E8" s="303">
        <v>16.855666666666664</v>
      </c>
      <c r="F8" s="303">
        <v>52.087666666666671</v>
      </c>
      <c r="G8" s="303">
        <v>46.758000000000003</v>
      </c>
      <c r="H8" s="303">
        <v>3.3669999999999995</v>
      </c>
      <c r="I8" s="303">
        <v>2.902333333333333</v>
      </c>
    </row>
    <row r="9" spans="1:9" ht="15.75" x14ac:dyDescent="0.25">
      <c r="A9" s="297" t="s">
        <v>442</v>
      </c>
      <c r="B9" s="300" t="s">
        <v>410</v>
      </c>
      <c r="C9" s="303">
        <v>29.064333333333334</v>
      </c>
      <c r="D9" s="303">
        <v>15.185666666666668</v>
      </c>
      <c r="E9" s="303">
        <v>11.39</v>
      </c>
      <c r="F9" s="303">
        <v>42.05266666666666</v>
      </c>
      <c r="G9" s="303">
        <v>31.869</v>
      </c>
      <c r="H9" s="303">
        <v>2.0466666666666664</v>
      </c>
      <c r="I9" s="303">
        <v>1.4813333333333336</v>
      </c>
    </row>
    <row r="10" spans="1:9" ht="15.75" x14ac:dyDescent="0.25">
      <c r="A10" s="297" t="s">
        <v>441</v>
      </c>
      <c r="B10" s="300" t="s">
        <v>412</v>
      </c>
      <c r="C10" s="303">
        <v>34.103000000000002</v>
      </c>
      <c r="D10" s="303">
        <v>14.619666666666667</v>
      </c>
      <c r="E10" s="303">
        <v>7.1513333333333335</v>
      </c>
      <c r="F10" s="303">
        <v>23.875</v>
      </c>
      <c r="G10" s="303">
        <v>48.975666666666662</v>
      </c>
      <c r="H10" s="303">
        <v>0.90400000000000003</v>
      </c>
      <c r="I10" s="303">
        <v>0.66400000000000003</v>
      </c>
    </row>
    <row r="11" spans="1:9" ht="15.75" x14ac:dyDescent="0.25">
      <c r="A11" s="297" t="s">
        <v>440</v>
      </c>
      <c r="B11" s="300" t="s">
        <v>410</v>
      </c>
      <c r="C11" s="303">
        <v>11.258000000000001</v>
      </c>
      <c r="D11" s="303">
        <v>4.306</v>
      </c>
      <c r="E11" s="303">
        <v>1.9880000000000002</v>
      </c>
      <c r="F11" s="303">
        <v>0.23466666666666669</v>
      </c>
      <c r="G11" s="303">
        <v>16.471999999999998</v>
      </c>
      <c r="H11" s="303">
        <v>1.1940000000000002</v>
      </c>
      <c r="I11" s="303">
        <v>0.64100000000000013</v>
      </c>
    </row>
    <row r="12" spans="1:9" ht="15.75" x14ac:dyDescent="0.25">
      <c r="A12" s="297" t="s">
        <v>439</v>
      </c>
      <c r="B12" s="300" t="s">
        <v>408</v>
      </c>
      <c r="C12" s="299">
        <v>-6.9473333333333329</v>
      </c>
      <c r="D12" s="303">
        <v>-2.9456666666666664</v>
      </c>
      <c r="E12" s="303">
        <v>-2.3446666666666669</v>
      </c>
      <c r="F12" s="303" t="s">
        <v>438</v>
      </c>
      <c r="G12" s="303">
        <v>58.30766666666667</v>
      </c>
      <c r="H12" s="303">
        <v>1.1053333333333333</v>
      </c>
      <c r="I12" s="303">
        <v>0.63366666666666671</v>
      </c>
    </row>
    <row r="13" spans="1:9" ht="15.75" x14ac:dyDescent="0.25">
      <c r="A13" s="297" t="s">
        <v>437</v>
      </c>
      <c r="B13" s="300" t="s">
        <v>410</v>
      </c>
      <c r="C13" s="303">
        <v>-9.8649999999999967</v>
      </c>
      <c r="D13" s="303">
        <v>-4.7990000000000004</v>
      </c>
      <c r="E13" s="303">
        <v>-5.405333333333334</v>
      </c>
      <c r="F13" s="303">
        <v>2.1046666666666667</v>
      </c>
      <c r="G13" s="303">
        <v>46.707666666666661</v>
      </c>
      <c r="H13" s="303">
        <v>0.92633333333333334</v>
      </c>
      <c r="I13" s="303">
        <v>0.71833333333333338</v>
      </c>
    </row>
    <row r="14" spans="1:9" ht="15.75" x14ac:dyDescent="0.25">
      <c r="A14" s="297" t="s">
        <v>436</v>
      </c>
      <c r="B14" s="300" t="s">
        <v>410</v>
      </c>
      <c r="C14" s="303">
        <v>14.581666666666669</v>
      </c>
      <c r="D14" s="303">
        <v>7.9853333333333341</v>
      </c>
      <c r="E14" s="303">
        <v>5.1870000000000003</v>
      </c>
      <c r="F14" s="303">
        <v>28.694666666666667</v>
      </c>
      <c r="G14" s="303">
        <v>29.858333333333338</v>
      </c>
      <c r="H14" s="303">
        <v>1.8546666666666667</v>
      </c>
      <c r="I14" s="303">
        <v>1.3169999999999999</v>
      </c>
    </row>
    <row r="15" spans="1:9" ht="15.75" x14ac:dyDescent="0.25">
      <c r="A15" s="297" t="s">
        <v>435</v>
      </c>
      <c r="B15" s="300" t="s">
        <v>408</v>
      </c>
      <c r="C15" s="303">
        <v>7.8640000000000008</v>
      </c>
      <c r="D15" s="303">
        <v>4.6406666666666672</v>
      </c>
      <c r="E15" s="303">
        <v>5.048</v>
      </c>
      <c r="F15" s="303">
        <v>35.498666666666665</v>
      </c>
      <c r="G15" s="303">
        <v>14.619666666666667</v>
      </c>
      <c r="H15" s="303">
        <v>1.4420000000000002</v>
      </c>
      <c r="I15" s="303">
        <v>1.1893333333333334</v>
      </c>
    </row>
    <row r="16" spans="1:9" ht="15.75" x14ac:dyDescent="0.25">
      <c r="A16" s="297" t="s">
        <v>434</v>
      </c>
      <c r="B16" s="300" t="s">
        <v>433</v>
      </c>
      <c r="C16" s="303">
        <v>-94.147000000000006</v>
      </c>
      <c r="D16" s="303">
        <v>-3.1199999999999997</v>
      </c>
      <c r="E16" s="303">
        <v>-14.940333333333333</v>
      </c>
      <c r="F16" s="303">
        <v>2.4286666666666665</v>
      </c>
      <c r="G16" s="303">
        <v>16.591333333333331</v>
      </c>
      <c r="H16" s="303">
        <v>0.95633333333333337</v>
      </c>
      <c r="I16" s="303">
        <v>0.51333333333333342</v>
      </c>
    </row>
    <row r="17" spans="1:9" ht="15.75" x14ac:dyDescent="0.25">
      <c r="A17" s="297" t="s">
        <v>432</v>
      </c>
      <c r="B17" s="298" t="s">
        <v>412</v>
      </c>
      <c r="C17" s="303">
        <v>6.81</v>
      </c>
      <c r="D17" s="303">
        <v>4.9463333333333326</v>
      </c>
      <c r="E17" s="303">
        <v>3.0246666666666666</v>
      </c>
      <c r="F17" s="303">
        <v>37.500500000000002</v>
      </c>
      <c r="G17" s="303">
        <v>4.0439999999999996</v>
      </c>
      <c r="H17" s="303">
        <v>5.5640000000000001</v>
      </c>
      <c r="I17" s="303">
        <v>3.0379999999999998</v>
      </c>
    </row>
    <row r="18" spans="1:9" ht="15.75" x14ac:dyDescent="0.25">
      <c r="A18" s="297" t="s">
        <v>431</v>
      </c>
      <c r="B18" s="298" t="s">
        <v>412</v>
      </c>
      <c r="C18" s="303">
        <v>8.3113333333333319</v>
      </c>
      <c r="D18" s="303">
        <v>3.254</v>
      </c>
      <c r="E18" s="303">
        <v>2.7743333333333333</v>
      </c>
      <c r="F18" s="303">
        <v>7.373333333333334</v>
      </c>
      <c r="G18" s="303">
        <v>36.466333333333331</v>
      </c>
      <c r="H18" s="303">
        <v>0.7373333333333334</v>
      </c>
      <c r="I18" s="303">
        <v>0.28866666666666668</v>
      </c>
    </row>
    <row r="19" spans="1:9" ht="15.75" x14ac:dyDescent="0.25">
      <c r="A19" s="297" t="s">
        <v>430</v>
      </c>
      <c r="B19" s="298" t="s">
        <v>422</v>
      </c>
      <c r="C19" s="303">
        <v>122.41266666666667</v>
      </c>
      <c r="D19" s="303">
        <v>21.531333333333333</v>
      </c>
      <c r="E19" s="303">
        <v>11.333666666666668</v>
      </c>
      <c r="F19" s="303">
        <v>33.516333333333336</v>
      </c>
      <c r="G19" s="303">
        <v>31.016000000000002</v>
      </c>
      <c r="H19" s="303">
        <v>0.93500000000000005</v>
      </c>
      <c r="I19" s="303">
        <v>0.7316666666666668</v>
      </c>
    </row>
    <row r="20" spans="1:9" ht="15.75" x14ac:dyDescent="0.25">
      <c r="A20" s="297" t="s">
        <v>429</v>
      </c>
      <c r="B20" s="298" t="s">
        <v>410</v>
      </c>
      <c r="C20" s="303">
        <v>-1.0999999999999973E-2</v>
      </c>
      <c r="D20" s="303">
        <v>-9.6666666666666654E-3</v>
      </c>
      <c r="E20" s="303">
        <v>3.3333333333333333E-2</v>
      </c>
      <c r="F20" s="303">
        <v>0</v>
      </c>
      <c r="G20" s="303">
        <v>2.1109999999999998</v>
      </c>
      <c r="H20" s="303">
        <v>1.5486666666666669</v>
      </c>
      <c r="I20" s="303">
        <v>1.5486666666666669</v>
      </c>
    </row>
    <row r="21" spans="1:9" ht="15.75" x14ac:dyDescent="0.25">
      <c r="A21" s="297" t="s">
        <v>428</v>
      </c>
      <c r="B21" s="298" t="s">
        <v>410</v>
      </c>
      <c r="C21" s="303">
        <v>23.967333333333332</v>
      </c>
      <c r="D21" s="303">
        <v>16.013666666666669</v>
      </c>
      <c r="E21" s="303">
        <v>15.068666666666667</v>
      </c>
      <c r="F21" s="303">
        <v>67.147666666666666</v>
      </c>
      <c r="G21" s="303">
        <v>16.356999999999999</v>
      </c>
      <c r="H21" s="303">
        <v>2.5706666666666664</v>
      </c>
      <c r="I21" s="303">
        <v>1.702</v>
      </c>
    </row>
    <row r="22" spans="1:9" ht="15.75" x14ac:dyDescent="0.25">
      <c r="A22" s="297" t="s">
        <v>427</v>
      </c>
      <c r="B22" s="298" t="s">
        <v>410</v>
      </c>
      <c r="C22" s="303">
        <v>-2.1686666666666667</v>
      </c>
      <c r="D22" s="303">
        <v>-0.9926666666666667</v>
      </c>
      <c r="E22" s="303">
        <v>0.91033333333333333</v>
      </c>
      <c r="F22" s="303">
        <v>39.704333333333331</v>
      </c>
      <c r="G22" s="303">
        <v>32.083666666666666</v>
      </c>
      <c r="H22" s="303">
        <v>2.3320000000000003</v>
      </c>
      <c r="I22" s="303">
        <v>1.6109999999999998</v>
      </c>
    </row>
    <row r="23" spans="1:9" ht="15.75" x14ac:dyDescent="0.25">
      <c r="A23" s="297" t="s">
        <v>426</v>
      </c>
      <c r="B23" s="298" t="s">
        <v>410</v>
      </c>
      <c r="C23" s="303">
        <v>10.456666666666667</v>
      </c>
      <c r="D23" s="303">
        <v>7.5803333333333347</v>
      </c>
      <c r="E23" s="303">
        <v>5.8226666666666667</v>
      </c>
      <c r="F23" s="303">
        <v>29.004666666666665</v>
      </c>
      <c r="G23" s="303">
        <v>20.399000000000001</v>
      </c>
      <c r="H23" s="303">
        <v>2.3196666666666665</v>
      </c>
      <c r="I23" s="303">
        <v>1.5553333333333335</v>
      </c>
    </row>
    <row r="24" spans="1:9" ht="15.75" x14ac:dyDescent="0.25">
      <c r="A24" s="297" t="s">
        <v>425</v>
      </c>
      <c r="B24" s="298" t="s">
        <v>410</v>
      </c>
      <c r="C24" s="303">
        <v>12.448333333333336</v>
      </c>
      <c r="D24" s="303">
        <v>8.0793333333333326</v>
      </c>
      <c r="E24" s="303">
        <v>8.2200000000000006</v>
      </c>
      <c r="F24" s="303">
        <v>75.334333333333333</v>
      </c>
      <c r="G24" s="303">
        <v>25.636999999999997</v>
      </c>
      <c r="H24" s="303">
        <v>2.9293333333333336</v>
      </c>
      <c r="I24" s="303">
        <v>1.8513333333333335</v>
      </c>
    </row>
    <row r="25" spans="1:9" ht="15.75" x14ac:dyDescent="0.25">
      <c r="A25" s="297" t="s">
        <v>424</v>
      </c>
      <c r="B25" s="298" t="s">
        <v>408</v>
      </c>
      <c r="C25" s="303">
        <v>17.748000000000001</v>
      </c>
      <c r="D25" s="303">
        <v>6.1410000000000009</v>
      </c>
      <c r="E25" s="303">
        <v>3.6406666666666663</v>
      </c>
      <c r="F25" s="303">
        <v>84.406666666666666</v>
      </c>
      <c r="G25" s="303">
        <v>35.384666666666668</v>
      </c>
      <c r="H25" s="303">
        <v>1.2513333333333334</v>
      </c>
      <c r="I25" s="303">
        <v>0.92633333333333345</v>
      </c>
    </row>
    <row r="26" spans="1:9" ht="15.75" x14ac:dyDescent="0.25">
      <c r="A26" s="297" t="s">
        <v>423</v>
      </c>
      <c r="B26" s="298" t="s">
        <v>422</v>
      </c>
      <c r="C26" s="303">
        <v>32.466666666666669</v>
      </c>
      <c r="D26" s="303">
        <v>6.6796666666666669</v>
      </c>
      <c r="E26" s="303">
        <v>4.9973333333333336</v>
      </c>
      <c r="F26" s="303">
        <v>62.801333333333332</v>
      </c>
      <c r="G26" s="303">
        <v>29.208666666666669</v>
      </c>
      <c r="H26" s="303">
        <v>1.0629999999999999</v>
      </c>
      <c r="I26" s="303">
        <v>0.71633333333333338</v>
      </c>
    </row>
    <row r="27" spans="1:9" ht="15.75" x14ac:dyDescent="0.25">
      <c r="A27" s="297" t="s">
        <v>421</v>
      </c>
      <c r="B27" s="298" t="s">
        <v>408</v>
      </c>
      <c r="C27" s="303">
        <v>21.085999999999999</v>
      </c>
      <c r="D27" s="303">
        <v>7.7639999999999993</v>
      </c>
      <c r="E27" s="303">
        <v>7.5973333333333342</v>
      </c>
      <c r="F27" s="303">
        <v>46.583000000000006</v>
      </c>
      <c r="G27" s="303">
        <v>23.741333333333333</v>
      </c>
      <c r="H27" s="303">
        <v>1.9863333333333333</v>
      </c>
      <c r="I27" s="303">
        <v>1.1196666666666666</v>
      </c>
    </row>
    <row r="28" spans="1:9" ht="15.75" x14ac:dyDescent="0.25">
      <c r="A28" s="297" t="s">
        <v>420</v>
      </c>
      <c r="B28" s="298" t="s">
        <v>410</v>
      </c>
      <c r="C28" s="303">
        <v>6.6856666666666671</v>
      </c>
      <c r="D28" s="303">
        <v>4.0119999999999996</v>
      </c>
      <c r="E28" s="303">
        <v>3.095333333333333</v>
      </c>
      <c r="F28" s="303">
        <v>39.968000000000004</v>
      </c>
      <c r="G28" s="303">
        <v>33.402666666666669</v>
      </c>
      <c r="H28" s="303">
        <v>1.6863333333333335</v>
      </c>
      <c r="I28" s="303">
        <v>1.2103333333333335</v>
      </c>
    </row>
    <row r="29" spans="1:9" ht="15.75" x14ac:dyDescent="0.25">
      <c r="A29" s="297" t="s">
        <v>419</v>
      </c>
      <c r="B29" s="298" t="s">
        <v>410</v>
      </c>
      <c r="C29" s="303">
        <v>9.7256666666666671</v>
      </c>
      <c r="D29" s="303">
        <v>5.2393333333333318</v>
      </c>
      <c r="E29" s="303">
        <v>2.167333333333334</v>
      </c>
      <c r="F29" s="303">
        <v>40.876333333333328</v>
      </c>
      <c r="G29" s="303">
        <v>29.585333333333335</v>
      </c>
      <c r="H29" s="303">
        <v>1.4326666666666668</v>
      </c>
      <c r="I29" s="303">
        <v>0.90800000000000003</v>
      </c>
    </row>
    <row r="30" spans="1:9" ht="15.75" x14ac:dyDescent="0.25">
      <c r="A30" s="297" t="s">
        <v>418</v>
      </c>
      <c r="B30" s="298" t="s">
        <v>417</v>
      </c>
      <c r="C30" s="303">
        <v>19.314</v>
      </c>
      <c r="D30" s="303">
        <v>10.156333333333334</v>
      </c>
      <c r="E30" s="303">
        <v>7.9179999999999993</v>
      </c>
      <c r="F30" s="303">
        <v>40.588999999999999</v>
      </c>
      <c r="G30" s="303">
        <v>16.042666666666666</v>
      </c>
      <c r="H30" s="303">
        <v>2.4889999999999999</v>
      </c>
      <c r="I30" s="303">
        <v>1.6943333333333335</v>
      </c>
    </row>
    <row r="31" spans="1:9" ht="15.75" x14ac:dyDescent="0.25">
      <c r="A31" s="297" t="s">
        <v>416</v>
      </c>
      <c r="B31" s="298" t="s">
        <v>410</v>
      </c>
      <c r="C31" s="303">
        <v>-0.51966666666666761</v>
      </c>
      <c r="D31" s="303">
        <v>-0.1126666666666664</v>
      </c>
      <c r="E31" s="303">
        <v>-1.0999999999999999</v>
      </c>
      <c r="F31" s="303">
        <v>39.55566666666666</v>
      </c>
      <c r="G31" s="303">
        <v>18.588999999999999</v>
      </c>
      <c r="H31" s="303">
        <v>1.7016666666666669</v>
      </c>
      <c r="I31" s="303">
        <v>0.9986666666666667</v>
      </c>
    </row>
    <row r="32" spans="1:9" ht="15.75" x14ac:dyDescent="0.25">
      <c r="A32" s="297" t="s">
        <v>415</v>
      </c>
      <c r="B32" s="298" t="s">
        <v>410</v>
      </c>
      <c r="C32" s="303">
        <v>209.31733333333332</v>
      </c>
      <c r="D32" s="303">
        <v>16.328666666666667</v>
      </c>
      <c r="E32" s="303">
        <v>6.4643333333333333</v>
      </c>
      <c r="F32" s="303">
        <v>17.143333333333334</v>
      </c>
      <c r="G32" s="303">
        <v>25.503666666666664</v>
      </c>
      <c r="H32" s="303">
        <v>0.97766666666666657</v>
      </c>
      <c r="I32" s="303">
        <v>0.57133333333333336</v>
      </c>
    </row>
    <row r="33" spans="1:9" ht="15.75" x14ac:dyDescent="0.25">
      <c r="A33" s="297" t="s">
        <v>414</v>
      </c>
      <c r="B33" s="298" t="s">
        <v>410</v>
      </c>
      <c r="C33" s="303">
        <v>-9.6023333333333341</v>
      </c>
      <c r="D33" s="303">
        <v>-3.6266666666666665</v>
      </c>
      <c r="E33" s="303">
        <v>-2.543333333333333</v>
      </c>
      <c r="F33" s="303">
        <v>38.752333333333333</v>
      </c>
      <c r="G33" s="303">
        <v>29.268000000000001</v>
      </c>
      <c r="H33" s="303">
        <v>1.2089999999999999</v>
      </c>
      <c r="I33" s="303">
        <v>0.64366666666666672</v>
      </c>
    </row>
    <row r="34" spans="1:9" ht="15.75" x14ac:dyDescent="0.25">
      <c r="A34" s="297" t="s">
        <v>413</v>
      </c>
      <c r="B34" s="298" t="s">
        <v>412</v>
      </c>
      <c r="C34" s="303">
        <v>56.662500000000001</v>
      </c>
      <c r="D34" s="303">
        <v>18.273500000000002</v>
      </c>
      <c r="E34" s="303">
        <v>7.0930000000000009</v>
      </c>
      <c r="F34" s="303">
        <v>9.7000000000000003E-2</v>
      </c>
      <c r="G34" s="303">
        <v>23.238500000000002</v>
      </c>
      <c r="H34" s="303">
        <v>1.6755</v>
      </c>
      <c r="I34" s="303">
        <v>1.2515000000000001</v>
      </c>
    </row>
    <row r="35" spans="1:9" ht="15.75" x14ac:dyDescent="0.25">
      <c r="A35" s="297" t="s">
        <v>411</v>
      </c>
      <c r="B35" s="298" t="s">
        <v>410</v>
      </c>
      <c r="C35" s="303">
        <v>26.189666666666671</v>
      </c>
      <c r="D35" s="303">
        <v>3.1846666666666668</v>
      </c>
      <c r="E35" s="303">
        <v>0.96266666666666645</v>
      </c>
      <c r="F35" s="303">
        <v>1.5326666666666668</v>
      </c>
      <c r="G35" s="303">
        <v>33.50533333333334</v>
      </c>
      <c r="H35" s="303">
        <v>0.93433333333333346</v>
      </c>
      <c r="I35" s="303">
        <v>0.32033333333333336</v>
      </c>
    </row>
    <row r="36" spans="1:9" ht="15.75" x14ac:dyDescent="0.25">
      <c r="A36" s="297" t="s">
        <v>409</v>
      </c>
      <c r="B36" s="298" t="s">
        <v>408</v>
      </c>
      <c r="C36" s="303">
        <v>-51.395999999999994</v>
      </c>
      <c r="D36" s="299">
        <v>-5.5216666666666656</v>
      </c>
      <c r="E36" s="303">
        <v>-4.1589999999999998</v>
      </c>
      <c r="F36" s="303">
        <v>65.942333333333337</v>
      </c>
      <c r="G36" s="303">
        <v>24.300666666666668</v>
      </c>
      <c r="H36" s="303">
        <v>0.8653333333333334</v>
      </c>
      <c r="I36" s="303">
        <v>0.4386666666666667</v>
      </c>
    </row>
    <row r="37" spans="1:9" x14ac:dyDescent="0.2">
      <c r="A37" s="295"/>
      <c r="B37" s="295"/>
      <c r="C37" s="305"/>
      <c r="D37" s="305"/>
      <c r="E37" s="305"/>
      <c r="F37" s="305"/>
      <c r="G37" s="305"/>
      <c r="H37" s="305"/>
      <c r="I37" s="305"/>
    </row>
    <row r="38" spans="1:9" ht="15.75" x14ac:dyDescent="0.25">
      <c r="A38" s="487" t="s">
        <v>460</v>
      </c>
      <c r="B38" s="487"/>
      <c r="C38" s="306">
        <f>AVERAGE(C3:C36)</f>
        <v>17.24634803921569</v>
      </c>
      <c r="D38" s="306">
        <f t="shared" ref="D38:I38" si="0">AVERAGE(D3:D36)</f>
        <v>5.9481225490196072</v>
      </c>
      <c r="E38" s="306">
        <f t="shared" si="0"/>
        <v>3.8400882352941181</v>
      </c>
      <c r="F38" s="306">
        <f t="shared" si="0"/>
        <v>31.492075757575755</v>
      </c>
      <c r="G38" s="306">
        <f t="shared" si="0"/>
        <v>26.041171568627448</v>
      </c>
      <c r="H38" s="306">
        <f t="shared" si="0"/>
        <v>1.6759803921568626</v>
      </c>
      <c r="I38" s="306">
        <f t="shared" si="0"/>
        <v>1.1113480392156865</v>
      </c>
    </row>
    <row r="39" spans="1:9" x14ac:dyDescent="0.2">
      <c r="A39" s="295"/>
      <c r="B39" s="295"/>
      <c r="C39" s="295"/>
      <c r="D39" s="295"/>
      <c r="E39" s="295"/>
      <c r="F39" s="295"/>
      <c r="G39" s="295"/>
      <c r="H39" s="295"/>
      <c r="I39" s="295"/>
    </row>
    <row r="40" spans="1:9" ht="15.75" x14ac:dyDescent="0.25">
      <c r="A40" s="295" t="s">
        <v>461</v>
      </c>
      <c r="B40" s="307" t="s">
        <v>412</v>
      </c>
      <c r="C40" s="308">
        <v>0.4446282405954996</v>
      </c>
      <c r="D40" s="308">
        <v>0.20608325945031031</v>
      </c>
      <c r="E40" s="309">
        <v>0.1373132124108857</v>
      </c>
      <c r="F40" s="301">
        <v>20.803318758243428</v>
      </c>
      <c r="G40" s="301">
        <v>49.252174325291129</v>
      </c>
      <c r="H40" s="301">
        <v>1.5047733930725486</v>
      </c>
      <c r="I40" s="301">
        <v>1.0220920213682578</v>
      </c>
    </row>
    <row r="41" spans="1:9" ht="15.75" x14ac:dyDescent="0.25">
      <c r="A41" s="295" t="s">
        <v>462</v>
      </c>
      <c r="B41" s="307" t="s">
        <v>412</v>
      </c>
      <c r="C41" s="308">
        <v>0.62024358203638141</v>
      </c>
      <c r="D41" s="308">
        <v>0.42988844723682523</v>
      </c>
      <c r="E41" s="309">
        <v>0.17000314379303699</v>
      </c>
      <c r="F41" s="301">
        <v>21.079170852720111</v>
      </c>
      <c r="G41" s="301">
        <v>44.891010106218417</v>
      </c>
      <c r="H41" s="301">
        <v>2.4784503173249974</v>
      </c>
      <c r="I41" s="301">
        <v>1.8665656278614506</v>
      </c>
    </row>
    <row r="42" spans="1:9" ht="15.75" x14ac:dyDescent="0.25">
      <c r="A42" s="307" t="s">
        <v>463</v>
      </c>
      <c r="B42" s="307" t="s">
        <v>412</v>
      </c>
      <c r="C42" s="310">
        <v>0.36843479455819705</v>
      </c>
      <c r="D42" s="310">
        <v>0.28616499719455096</v>
      </c>
      <c r="E42" s="309">
        <v>0.13051668009128742</v>
      </c>
      <c r="F42" s="301">
        <v>13.425699247191162</v>
      </c>
      <c r="G42" s="301">
        <v>44.04502967238875</v>
      </c>
      <c r="H42" s="301">
        <v>2.7991956148032826</v>
      </c>
      <c r="I42" s="301">
        <v>2.3452045019623107</v>
      </c>
    </row>
    <row r="43" spans="1:9" ht="15.75" x14ac:dyDescent="0.25">
      <c r="A43" s="296" t="s">
        <v>316</v>
      </c>
      <c r="B43" s="296" t="s">
        <v>412</v>
      </c>
      <c r="C43" s="311">
        <f t="shared" ref="C43:I43" si="1">AVERAGE(C40:C42)</f>
        <v>0.47776887239669269</v>
      </c>
      <c r="D43" s="311">
        <f t="shared" si="1"/>
        <v>0.3073789012938955</v>
      </c>
      <c r="E43" s="311">
        <f t="shared" si="1"/>
        <v>0.14594434543173671</v>
      </c>
      <c r="F43" s="312">
        <f t="shared" si="1"/>
        <v>18.436062952718235</v>
      </c>
      <c r="G43" s="312">
        <f t="shared" si="1"/>
        <v>46.062738034632766</v>
      </c>
      <c r="H43" s="312">
        <f t="shared" si="1"/>
        <v>2.2608064417336098</v>
      </c>
      <c r="I43" s="312">
        <f t="shared" si="1"/>
        <v>1.7446207170640065</v>
      </c>
    </row>
  </sheetData>
  <mergeCells count="4">
    <mergeCell ref="C1:E1"/>
    <mergeCell ref="F1:G1"/>
    <mergeCell ref="H1:I1"/>
    <mergeCell ref="A38:B38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47"/>
  <sheetViews>
    <sheetView zoomScale="70" zoomScaleNormal="70" workbookViewId="0">
      <pane ySplit="2" topLeftCell="A3" activePane="bottomLeft" state="frozen"/>
      <selection pane="bottomLeft" activeCell="O5" sqref="I5:O34"/>
    </sheetView>
  </sheetViews>
  <sheetFormatPr defaultColWidth="17.140625" defaultRowHeight="12.75" customHeight="1" x14ac:dyDescent="0.2"/>
  <cols>
    <col min="1" max="1" width="52.42578125" customWidth="1"/>
    <col min="7" max="7" width="8.5703125" style="118" customWidth="1"/>
    <col min="8" max="8" width="14.7109375" customWidth="1"/>
    <col min="9" max="13" width="12.140625" customWidth="1"/>
  </cols>
  <sheetData>
    <row r="1" spans="1:16" ht="12.75" customHeight="1" x14ac:dyDescent="0.2">
      <c r="A1" s="455" t="s">
        <v>472</v>
      </c>
      <c r="B1" s="455"/>
      <c r="C1" s="455"/>
      <c r="D1" s="455"/>
      <c r="E1" s="455"/>
      <c r="F1" s="455"/>
    </row>
    <row r="2" spans="1:16" s="137" customFormat="1" x14ac:dyDescent="0.2">
      <c r="A2" s="247" t="s">
        <v>126</v>
      </c>
      <c r="B2" s="248" t="s">
        <v>127</v>
      </c>
      <c r="C2" s="248" t="s">
        <v>128</v>
      </c>
      <c r="D2" s="248" t="s">
        <v>129</v>
      </c>
      <c r="E2" s="248" t="s">
        <v>130</v>
      </c>
      <c r="F2" s="249" t="s">
        <v>131</v>
      </c>
      <c r="G2" s="136"/>
      <c r="H2"/>
      <c r="I2"/>
      <c r="J2"/>
      <c r="K2"/>
      <c r="L2"/>
      <c r="M2"/>
      <c r="N2"/>
    </row>
    <row r="3" spans="1:16" x14ac:dyDescent="0.2">
      <c r="A3" s="132" t="s">
        <v>132</v>
      </c>
      <c r="B3" s="133"/>
      <c r="C3" s="133"/>
      <c r="D3" s="133"/>
      <c r="E3" s="133"/>
      <c r="F3" s="134"/>
      <c r="G3" s="135"/>
    </row>
    <row r="4" spans="1:16" x14ac:dyDescent="0.2">
      <c r="A4" s="12" t="s">
        <v>133</v>
      </c>
      <c r="B4" s="39">
        <v>0.1</v>
      </c>
      <c r="C4" s="39">
        <v>0.08</v>
      </c>
      <c r="D4" s="39">
        <v>7.0000000000000007E-2</v>
      </c>
      <c r="E4" s="39">
        <v>7.0000000000000007E-2</v>
      </c>
      <c r="F4" s="20">
        <v>0.05</v>
      </c>
      <c r="G4" s="128"/>
      <c r="P4" s="295"/>
    </row>
    <row r="5" spans="1:16" ht="14.25" customHeight="1" x14ac:dyDescent="0.2">
      <c r="A5" s="97" t="s">
        <v>134</v>
      </c>
      <c r="B5" s="33">
        <v>-1.4999999999999999E-2</v>
      </c>
      <c r="C5" s="33">
        <v>0.125</v>
      </c>
      <c r="D5" s="33">
        <v>5.5E-2</v>
      </c>
      <c r="E5" s="33">
        <v>5.5E-2</v>
      </c>
      <c r="F5" s="33">
        <v>0.05</v>
      </c>
      <c r="G5" s="128"/>
      <c r="P5" s="295"/>
    </row>
    <row r="6" spans="1:16" x14ac:dyDescent="0.2">
      <c r="A6" s="75" t="s">
        <v>135</v>
      </c>
      <c r="B6" s="98">
        <v>-0.02</v>
      </c>
      <c r="C6" s="98">
        <v>0.08</v>
      </c>
      <c r="D6" s="98">
        <v>4.4999999999999998E-2</v>
      </c>
      <c r="E6" s="98">
        <v>4.4999999999999998E-2</v>
      </c>
      <c r="F6" s="107">
        <v>0.05</v>
      </c>
      <c r="G6" s="128"/>
      <c r="N6" s="33"/>
      <c r="P6" s="295"/>
    </row>
    <row r="7" spans="1:16" x14ac:dyDescent="0.2">
      <c r="A7" s="35" t="s">
        <v>136</v>
      </c>
      <c r="B7" s="65"/>
      <c r="C7" s="65"/>
      <c r="D7" s="65"/>
      <c r="E7" s="65"/>
      <c r="F7" s="100"/>
      <c r="G7" s="125"/>
      <c r="P7" s="295"/>
    </row>
    <row r="8" spans="1:16" x14ac:dyDescent="0.2">
      <c r="A8" s="64" t="s">
        <v>137</v>
      </c>
      <c r="B8" s="39">
        <v>0.125</v>
      </c>
      <c r="C8" s="39">
        <v>6.5000000000000002E-2</v>
      </c>
      <c r="D8" s="39">
        <v>7.0000000000000007E-2</v>
      </c>
      <c r="E8" s="39">
        <v>7.0000000000000007E-2</v>
      </c>
      <c r="F8" s="39">
        <v>7.0000000000000007E-2</v>
      </c>
      <c r="G8" s="129"/>
      <c r="P8" s="295"/>
    </row>
    <row r="9" spans="1:16" x14ac:dyDescent="0.2">
      <c r="A9" s="96" t="s">
        <v>138</v>
      </c>
      <c r="B9" s="33">
        <v>0.06</v>
      </c>
      <c r="C9" s="33">
        <v>0.04</v>
      </c>
      <c r="D9" s="33">
        <v>0.06</v>
      </c>
      <c r="E9" s="33">
        <v>0.06</v>
      </c>
      <c r="F9" s="33">
        <v>0.06</v>
      </c>
      <c r="G9" s="129"/>
      <c r="P9" s="295"/>
    </row>
    <row r="10" spans="1:16" x14ac:dyDescent="0.2">
      <c r="A10" s="96" t="s">
        <v>473</v>
      </c>
      <c r="B10" s="33">
        <v>0.08</v>
      </c>
      <c r="C10" s="33">
        <v>0.08</v>
      </c>
      <c r="D10" s="33">
        <v>0.08</v>
      </c>
      <c r="E10" s="33">
        <v>7.0000000000000007E-2</v>
      </c>
      <c r="F10" s="52">
        <v>7.0000000000000007E-2</v>
      </c>
      <c r="G10" s="130"/>
      <c r="P10" s="295"/>
    </row>
    <row r="11" spans="1:16" ht="13.5" customHeight="1" x14ac:dyDescent="0.2">
      <c r="A11" s="96" t="s">
        <v>140</v>
      </c>
      <c r="B11" s="33">
        <v>7.0000000000000007E-2</v>
      </c>
      <c r="C11" s="33">
        <v>7.0000000000000007E-2</v>
      </c>
      <c r="D11" s="33">
        <v>0.08</v>
      </c>
      <c r="E11" s="33">
        <v>0.08</v>
      </c>
      <c r="F11" s="52">
        <v>0.08</v>
      </c>
      <c r="G11" s="130"/>
      <c r="P11" s="295"/>
    </row>
    <row r="12" spans="1:16" x14ac:dyDescent="0.2">
      <c r="A12" s="96" t="s">
        <v>141</v>
      </c>
      <c r="B12" s="33">
        <v>-0.03</v>
      </c>
      <c r="C12" s="33">
        <v>-0.03</v>
      </c>
      <c r="D12" s="33">
        <v>-0.02</v>
      </c>
      <c r="E12" s="33">
        <v>-0.02</v>
      </c>
      <c r="F12" s="52">
        <v>-0.02</v>
      </c>
      <c r="G12" s="130"/>
      <c r="P12" s="295"/>
    </row>
    <row r="13" spans="1:16" x14ac:dyDescent="0.2">
      <c r="A13" s="96" t="s">
        <v>142</v>
      </c>
      <c r="B13" s="33">
        <v>0.02</v>
      </c>
      <c r="C13" s="33">
        <v>0.02</v>
      </c>
      <c r="D13" s="33">
        <v>0.02</v>
      </c>
      <c r="E13" s="33">
        <v>0.02</v>
      </c>
      <c r="F13" s="52">
        <v>0.02</v>
      </c>
      <c r="G13" s="130"/>
      <c r="P13" s="295"/>
    </row>
    <row r="14" spans="1:16" x14ac:dyDescent="0.2">
      <c r="A14" s="273" t="s">
        <v>114</v>
      </c>
      <c r="B14" s="98">
        <v>0</v>
      </c>
      <c r="C14" s="98">
        <v>0</v>
      </c>
      <c r="D14" s="98">
        <v>0</v>
      </c>
      <c r="E14" s="98">
        <v>0</v>
      </c>
      <c r="F14" s="98">
        <v>0</v>
      </c>
      <c r="G14" s="130"/>
      <c r="P14" s="295"/>
    </row>
    <row r="15" spans="1:16" x14ac:dyDescent="0.2">
      <c r="A15" s="35" t="s">
        <v>143</v>
      </c>
      <c r="B15" s="65"/>
      <c r="C15" s="65"/>
      <c r="D15" s="65"/>
      <c r="E15" s="65"/>
      <c r="F15" s="100"/>
      <c r="G15" s="125"/>
      <c r="P15" s="295"/>
    </row>
    <row r="16" spans="1:16" x14ac:dyDescent="0.2">
      <c r="A16" s="280" t="s">
        <v>186</v>
      </c>
      <c r="B16" s="39">
        <v>0.03</v>
      </c>
      <c r="C16" s="39">
        <v>0.02</v>
      </c>
      <c r="D16" s="39">
        <v>0.02</v>
      </c>
      <c r="E16" s="39">
        <v>0.02</v>
      </c>
      <c r="F16" s="39">
        <v>0.02</v>
      </c>
      <c r="G16" s="129"/>
      <c r="P16" s="295"/>
    </row>
    <row r="17" spans="1:16" x14ac:dyDescent="0.2">
      <c r="A17" s="281" t="s">
        <v>405</v>
      </c>
      <c r="B17" s="282">
        <v>0.06</v>
      </c>
      <c r="C17" s="282">
        <v>-0.02</v>
      </c>
      <c r="D17" s="282">
        <v>0.03</v>
      </c>
      <c r="E17" s="282">
        <v>0.02</v>
      </c>
      <c r="F17" s="283">
        <v>0.02</v>
      </c>
      <c r="G17" s="135"/>
      <c r="P17" s="295"/>
    </row>
    <row r="18" spans="1:16" x14ac:dyDescent="0.2">
      <c r="A18" s="284" t="s">
        <v>143</v>
      </c>
      <c r="B18" s="253">
        <v>0.03</v>
      </c>
      <c r="C18" s="253">
        <v>0.03</v>
      </c>
      <c r="D18" s="253">
        <v>0.03</v>
      </c>
      <c r="E18" s="253">
        <v>0.03</v>
      </c>
      <c r="F18" s="253">
        <v>0.03</v>
      </c>
      <c r="G18" s="135"/>
      <c r="P18" s="295"/>
    </row>
    <row r="19" spans="1:16" x14ac:dyDescent="0.2">
      <c r="A19" s="132" t="s">
        <v>144</v>
      </c>
      <c r="B19" s="418"/>
      <c r="C19" s="418"/>
      <c r="D19" s="418"/>
      <c r="E19" s="418"/>
      <c r="F19" s="419"/>
      <c r="G19" s="135"/>
      <c r="P19" s="295"/>
    </row>
    <row r="20" spans="1:16" x14ac:dyDescent="0.2">
      <c r="A20" s="64" t="s">
        <v>145</v>
      </c>
      <c r="B20" s="39">
        <v>0.04</v>
      </c>
      <c r="C20" s="39">
        <v>0.04</v>
      </c>
      <c r="D20" s="39">
        <v>0.04</v>
      </c>
      <c r="E20" s="39">
        <v>0.04</v>
      </c>
      <c r="F20" s="20">
        <v>0.04</v>
      </c>
      <c r="G20" s="135"/>
      <c r="P20" s="295"/>
    </row>
    <row r="21" spans="1:16" x14ac:dyDescent="0.2">
      <c r="A21" s="96" t="s">
        <v>146</v>
      </c>
      <c r="B21" s="33">
        <v>0.125</v>
      </c>
      <c r="C21" s="33">
        <v>0.125</v>
      </c>
      <c r="D21" s="33">
        <v>0.125</v>
      </c>
      <c r="E21" s="33">
        <v>0.125</v>
      </c>
      <c r="F21" s="52">
        <v>0.125</v>
      </c>
      <c r="G21" s="135"/>
      <c r="P21" s="295"/>
    </row>
    <row r="22" spans="1:16" x14ac:dyDescent="0.2">
      <c r="A22" s="96" t="s">
        <v>147</v>
      </c>
      <c r="B22" s="33">
        <v>0.13</v>
      </c>
      <c r="C22" s="33">
        <v>0.13</v>
      </c>
      <c r="D22" s="33">
        <v>0.13</v>
      </c>
      <c r="E22" s="33">
        <v>0.13</v>
      </c>
      <c r="F22" s="52">
        <v>0.13</v>
      </c>
      <c r="G22" s="130"/>
      <c r="P22" s="295"/>
    </row>
    <row r="23" spans="1:16" x14ac:dyDescent="0.2">
      <c r="A23" s="96" t="s">
        <v>148</v>
      </c>
      <c r="B23" s="33">
        <v>0.25</v>
      </c>
      <c r="C23" s="33">
        <v>0.25</v>
      </c>
      <c r="D23" s="33">
        <v>0.25</v>
      </c>
      <c r="E23" s="33">
        <v>0.25</v>
      </c>
      <c r="F23" s="52">
        <v>0.25</v>
      </c>
      <c r="G23" s="130"/>
      <c r="P23" s="295"/>
    </row>
    <row r="24" spans="1:16" x14ac:dyDescent="0.2">
      <c r="A24" s="75" t="s">
        <v>149</v>
      </c>
      <c r="B24" s="98">
        <v>0.08</v>
      </c>
      <c r="C24" s="98">
        <v>0.08</v>
      </c>
      <c r="D24" s="98">
        <v>0.08</v>
      </c>
      <c r="E24" s="98">
        <v>0.08</v>
      </c>
      <c r="F24" s="107">
        <v>0.08</v>
      </c>
      <c r="G24" s="130"/>
      <c r="P24" s="295"/>
    </row>
    <row r="25" spans="1:16" x14ac:dyDescent="0.2">
      <c r="A25" s="35" t="s">
        <v>150</v>
      </c>
      <c r="B25" s="78"/>
      <c r="C25" s="78"/>
      <c r="D25" s="78"/>
      <c r="E25" s="78"/>
      <c r="F25" s="21"/>
      <c r="G25" s="125"/>
      <c r="P25" s="295"/>
    </row>
    <row r="26" spans="1:16" x14ac:dyDescent="0.2">
      <c r="A26" s="76" t="s">
        <v>151</v>
      </c>
      <c r="B26" s="416">
        <v>0.15</v>
      </c>
      <c r="C26" s="416">
        <v>0.15</v>
      </c>
      <c r="D26" s="416">
        <v>0.15</v>
      </c>
      <c r="E26" s="416">
        <v>0.15</v>
      </c>
      <c r="F26" s="417">
        <v>0.15</v>
      </c>
      <c r="G26" s="125"/>
      <c r="P26" s="295"/>
    </row>
    <row r="27" spans="1:16" x14ac:dyDescent="0.2">
      <c r="A27" s="35" t="s">
        <v>152</v>
      </c>
      <c r="B27" s="78"/>
      <c r="C27" s="78"/>
      <c r="D27" s="78"/>
      <c r="E27" s="78"/>
      <c r="F27" s="21"/>
      <c r="G27" s="125"/>
    </row>
    <row r="28" spans="1:16" x14ac:dyDescent="0.2">
      <c r="A28" s="64" t="s">
        <v>153</v>
      </c>
      <c r="B28" s="77">
        <f>-((BS!B37+BS!C37)/2)/((IS!C13+IS!C23)/365)</f>
        <v>38.629353263607982</v>
      </c>
      <c r="C28" s="77">
        <f>-((BS!C37+BS!D37)/2)/((IS!D13+IS!D23)/365)</f>
        <v>33.888439907918269</v>
      </c>
      <c r="D28" s="77">
        <f>-((BS!D37+BS!E37)/2)/((IS!E13+IS!E23)/365)</f>
        <v>33.972989943021886</v>
      </c>
      <c r="E28" s="77">
        <f>-((BS!E37+BS!F37)/2)/((IS!F13+IS!F23)/365)</f>
        <v>32.000960586932727</v>
      </c>
      <c r="F28" s="77">
        <f>-((BS!F37+BS!G37)/2)/((IS!G13+IS!G23)/365)</f>
        <v>31.158077898815648</v>
      </c>
      <c r="G28" s="131"/>
    </row>
    <row r="29" spans="1:16" x14ac:dyDescent="0.2">
      <c r="A29" s="75" t="s">
        <v>64</v>
      </c>
      <c r="B29" s="57">
        <f>((BS!B17+BS!C17)/2)/(IS!C7/365)</f>
        <v>24.271109884809746</v>
      </c>
      <c r="C29" s="57">
        <f>((BS!C17+BS!D17)/2)/(IS!D7/365)</f>
        <v>22.121137550155158</v>
      </c>
      <c r="D29" s="57">
        <f>((BS!D17+BS!E17)/2)/(IS!E7/365)</f>
        <v>21.932694300085149</v>
      </c>
      <c r="E29" s="57">
        <f>((BS!E17+BS!F17)/2)/(IS!F7/365)</f>
        <v>21.463809831338811</v>
      </c>
      <c r="F29" s="82">
        <f>((BS!F17+BS!G17)/2)/(IS!G7/365)</f>
        <v>21.139758003657217</v>
      </c>
      <c r="G29" s="131"/>
    </row>
    <row r="30" spans="1:16" x14ac:dyDescent="0.2">
      <c r="A30" s="274" t="s">
        <v>400</v>
      </c>
      <c r="B30" s="78"/>
      <c r="C30" s="78"/>
      <c r="D30" s="78"/>
      <c r="E30" s="78"/>
      <c r="F30" s="254"/>
      <c r="G30" s="125"/>
    </row>
    <row r="31" spans="1:16" x14ac:dyDescent="0.2">
      <c r="A31" s="64" t="s">
        <v>101</v>
      </c>
      <c r="B31" s="39">
        <v>0</v>
      </c>
      <c r="C31" s="39">
        <v>0</v>
      </c>
      <c r="D31" s="39">
        <v>0</v>
      </c>
      <c r="E31" s="39">
        <v>0</v>
      </c>
      <c r="F31" s="255">
        <v>0</v>
      </c>
      <c r="G31" s="136"/>
    </row>
    <row r="32" spans="1:16" x14ac:dyDescent="0.2">
      <c r="A32" s="75" t="s">
        <v>154</v>
      </c>
      <c r="B32" s="253">
        <v>0</v>
      </c>
      <c r="C32" s="253">
        <v>0</v>
      </c>
      <c r="D32" s="253">
        <v>0</v>
      </c>
      <c r="E32" s="253">
        <v>0</v>
      </c>
      <c r="F32" s="107">
        <v>0</v>
      </c>
      <c r="G32" s="136"/>
    </row>
    <row r="33" spans="1:7" x14ac:dyDescent="0.2">
      <c r="A33" s="35" t="s">
        <v>155</v>
      </c>
      <c r="B33" s="133"/>
      <c r="C33" s="133"/>
      <c r="D33" s="133"/>
      <c r="E33" s="133"/>
      <c r="F33" s="134"/>
      <c r="G33" s="125"/>
    </row>
    <row r="34" spans="1:7" x14ac:dyDescent="0.2">
      <c r="A34" s="64" t="s">
        <v>156</v>
      </c>
      <c r="B34" s="420">
        <v>0.03</v>
      </c>
      <c r="C34" s="420">
        <v>0.03</v>
      </c>
      <c r="D34" s="420">
        <v>0.03</v>
      </c>
      <c r="E34" s="420">
        <v>0.03</v>
      </c>
      <c r="F34" s="421">
        <v>0.03</v>
      </c>
      <c r="G34" s="130"/>
    </row>
    <row r="35" spans="1:7" x14ac:dyDescent="0.2">
      <c r="A35" s="96" t="s">
        <v>157</v>
      </c>
      <c r="B35" s="33">
        <v>0.08</v>
      </c>
      <c r="C35" s="33">
        <v>0.08</v>
      </c>
      <c r="D35" s="33">
        <v>0.08</v>
      </c>
      <c r="E35" s="33">
        <v>7.0000000000000007E-2</v>
      </c>
      <c r="F35" s="422">
        <v>7.0000000000000007E-2</v>
      </c>
      <c r="G35" s="130"/>
    </row>
    <row r="36" spans="1:7" x14ac:dyDescent="0.2">
      <c r="A36" s="96" t="s">
        <v>158</v>
      </c>
      <c r="B36" s="33">
        <v>0.8</v>
      </c>
      <c r="C36" s="33">
        <v>0.9</v>
      </c>
      <c r="D36" s="33">
        <v>1</v>
      </c>
      <c r="E36" s="33">
        <v>1.25</v>
      </c>
      <c r="F36" s="33">
        <v>1.35</v>
      </c>
      <c r="G36" s="130"/>
    </row>
    <row r="37" spans="1:7" x14ac:dyDescent="0.2">
      <c r="A37" s="96" t="s">
        <v>159</v>
      </c>
      <c r="B37" s="33">
        <v>-0.35</v>
      </c>
      <c r="C37" s="33">
        <v>-0.1</v>
      </c>
      <c r="D37" s="33">
        <v>-0.1</v>
      </c>
      <c r="E37" s="33">
        <v>-0.1</v>
      </c>
      <c r="F37" s="52">
        <v>-0.1</v>
      </c>
      <c r="G37" s="130"/>
    </row>
    <row r="38" spans="1:7" x14ac:dyDescent="0.2">
      <c r="A38" s="96" t="s">
        <v>89</v>
      </c>
      <c r="B38" s="33">
        <v>-0.02</v>
      </c>
      <c r="C38" s="33">
        <v>0.05</v>
      </c>
      <c r="D38" s="33">
        <v>0.05</v>
      </c>
      <c r="E38" s="33">
        <v>0.05</v>
      </c>
      <c r="F38" s="52">
        <v>0.05</v>
      </c>
      <c r="G38" s="130"/>
    </row>
    <row r="39" spans="1:7" x14ac:dyDescent="0.2">
      <c r="A39" s="75" t="s">
        <v>87</v>
      </c>
      <c r="B39" s="98">
        <v>-0.15</v>
      </c>
      <c r="C39" s="98">
        <v>-0.05</v>
      </c>
      <c r="D39" s="98">
        <v>-0.05</v>
      </c>
      <c r="E39" s="98">
        <v>-0.05</v>
      </c>
      <c r="F39" s="107">
        <v>-0.05</v>
      </c>
      <c r="G39" s="130"/>
    </row>
    <row r="40" spans="1:7" x14ac:dyDescent="0.2">
      <c r="A40" s="35" t="s">
        <v>160</v>
      </c>
      <c r="B40" s="78"/>
      <c r="C40" s="78"/>
      <c r="D40" s="78"/>
      <c r="E40" s="78"/>
      <c r="F40" s="21"/>
      <c r="G40" s="125"/>
    </row>
    <row r="41" spans="1:7" x14ac:dyDescent="0.2">
      <c r="A41" s="64" t="s">
        <v>161</v>
      </c>
      <c r="B41" s="39">
        <v>0.15</v>
      </c>
      <c r="C41" s="39">
        <v>0.03</v>
      </c>
      <c r="D41" s="39">
        <v>0.06</v>
      </c>
      <c r="E41" s="39">
        <v>0.06</v>
      </c>
      <c r="F41" s="20">
        <v>0.06</v>
      </c>
      <c r="G41" s="129"/>
    </row>
    <row r="42" spans="1:7" x14ac:dyDescent="0.2">
      <c r="A42" s="96" t="s">
        <v>162</v>
      </c>
      <c r="B42" s="33">
        <v>0.65</v>
      </c>
      <c r="C42" s="33">
        <v>0.1</v>
      </c>
      <c r="D42" s="33">
        <v>0.1</v>
      </c>
      <c r="E42" s="33">
        <v>0.08</v>
      </c>
      <c r="F42" s="52">
        <v>0.08</v>
      </c>
      <c r="G42" s="129"/>
    </row>
    <row r="43" spans="1:7" x14ac:dyDescent="0.2">
      <c r="A43" s="96" t="s">
        <v>163</v>
      </c>
      <c r="B43" s="33">
        <v>0.15</v>
      </c>
      <c r="C43" s="33">
        <v>0.06</v>
      </c>
      <c r="D43" s="33">
        <v>0.08</v>
      </c>
      <c r="E43" s="33">
        <v>0.08</v>
      </c>
      <c r="F43" s="52">
        <v>0.08</v>
      </c>
      <c r="G43" s="129"/>
    </row>
    <row r="44" spans="1:7" x14ac:dyDescent="0.2">
      <c r="A44" s="96" t="s">
        <v>164</v>
      </c>
      <c r="B44" s="33">
        <v>7.0000000000000007E-2</v>
      </c>
      <c r="C44" s="33">
        <v>-0.02</v>
      </c>
      <c r="D44" s="33">
        <v>0.03</v>
      </c>
      <c r="E44" s="33">
        <v>0.03</v>
      </c>
      <c r="F44" s="52">
        <v>0.03</v>
      </c>
      <c r="G44" s="129"/>
    </row>
    <row r="45" spans="1:7" x14ac:dyDescent="0.2">
      <c r="A45" s="96" t="s">
        <v>165</v>
      </c>
      <c r="B45" s="33">
        <v>0.04</v>
      </c>
      <c r="C45" s="33">
        <v>-0.03</v>
      </c>
      <c r="D45" s="33">
        <v>0.02</v>
      </c>
      <c r="E45" s="33">
        <v>0.02</v>
      </c>
      <c r="F45" s="52">
        <v>0.02</v>
      </c>
      <c r="G45" s="129"/>
    </row>
    <row r="46" spans="1:7" x14ac:dyDescent="0.2">
      <c r="A46" s="273" t="s">
        <v>406</v>
      </c>
      <c r="B46" s="98">
        <v>0</v>
      </c>
      <c r="C46" s="98">
        <v>0</v>
      </c>
      <c r="D46" s="98">
        <v>0</v>
      </c>
      <c r="E46" s="98">
        <v>0</v>
      </c>
      <c r="F46" s="107">
        <v>0</v>
      </c>
      <c r="G46" s="129"/>
    </row>
    <row r="47" spans="1:7" x14ac:dyDescent="0.2">
      <c r="A47" s="79"/>
      <c r="B47" s="79"/>
      <c r="C47" s="79"/>
      <c r="D47" s="79"/>
      <c r="E47" s="79"/>
      <c r="F47" s="79"/>
    </row>
  </sheetData>
  <scenarios current="0" show="0">
    <scenario name="Realistic" locked="1" count="32" user="Kipras" comment="Created by Kipras on 2013.05.06_x000a_Modified by Kipras on 2013.05.06_x000a_Modified by Vadim on 2013-05-06_x000a_Modified by Kipras on 2013.05.14">
      <inputCells r="B4" val="0.1" numFmtId="10"/>
      <inputCells r="C4" val="0.08" numFmtId="10"/>
      <inputCells r="D4" val="0.07" numFmtId="10"/>
      <inputCells r="E4" val="0.07" numFmtId="10"/>
      <inputCells r="B5" val="-0.015" numFmtId="10"/>
      <inputCells r="C5" val="0.125" numFmtId="10"/>
      <inputCells r="D5" val="0.055" numFmtId="10"/>
      <inputCells r="E5" val="0.055" numFmtId="10"/>
      <inputCells r="B6" val="-0.02" numFmtId="10"/>
      <inputCells r="C6" val="0.08" numFmtId="10"/>
      <inputCells r="D6" val="0.045" numFmtId="10"/>
      <inputCells r="E6" val="0.045" numFmtId="10"/>
      <inputCells r="B8" val="0.125" numFmtId="10"/>
      <inputCells r="C8" val="0.065" numFmtId="10"/>
      <inputCells r="D8" val="0.07" numFmtId="10"/>
      <inputCells r="E8" val="0.07" numFmtId="10"/>
      <inputCells r="B9" val="0.06" numFmtId="10"/>
      <inputCells r="C9" val="0.04" numFmtId="10"/>
      <inputCells r="D9" val="0.06" numFmtId="10"/>
      <inputCells r="E9" val="0.06" numFmtId="10"/>
      <inputCells r="B10" val="0.08" numFmtId="10"/>
      <inputCells r="C10" val="0.08" numFmtId="10"/>
      <inputCells r="D10" val="0.08" numFmtId="10"/>
      <inputCells r="E10" val="0.07" numFmtId="10"/>
      <inputCells r="B11" val="0.07" numFmtId="10"/>
      <inputCells r="C11" val="0.07" numFmtId="10"/>
      <inputCells r="D11" val="0.08" numFmtId="10"/>
      <inputCells r="E11" val="0.08" numFmtId="10"/>
      <inputCells r="C36" val="0.9" numFmtId="10"/>
      <inputCells r="D36" val="1" numFmtId="10"/>
      <inputCells r="E36" val="1.25" numFmtId="10"/>
      <inputCells r="F36" val="1.35" numFmtId="10"/>
    </scenario>
    <scenario name="Pesimistic" locked="1" count="32" user="Kipras" comment="Created by Kipras on 2013.05.06_x000a_Modified by Kipras on 2013.05.06_x000a_Modified by Vadim on 2013-05-06_x000a_Modified by Kipras on 2013.05.14">
      <inputCells r="B4" val="0.085" numFmtId="10"/>
      <inputCells r="C4" val="0.065" numFmtId="10"/>
      <inputCells r="D4" val="0.055" numFmtId="10"/>
      <inputCells r="E4" val="0.055" numFmtId="10"/>
      <inputCells r="B5" val="-0.025" numFmtId="10"/>
      <inputCells r="C5" val="0.095" numFmtId="10"/>
      <inputCells r="D5" val="0.05" numFmtId="10"/>
      <inputCells r="E5" val="0.05" numFmtId="10"/>
      <inputCells r="B6" val="-0.03" numFmtId="10"/>
      <inputCells r="C6" val="0.05" numFmtId="10"/>
      <inputCells r="D6" val="0.04" numFmtId="10"/>
      <inputCells r="E6" val="0.04" numFmtId="10"/>
      <inputCells r="B8" val="0.12" numFmtId="10"/>
      <inputCells r="C8" val="0.05" numFmtId="10"/>
      <inputCells r="D8" val="0.04" numFmtId="10"/>
      <inputCells r="E8" val="0.06" numFmtId="10"/>
      <inputCells r="B9" val="0.07" numFmtId="10"/>
      <inputCells r="C9" val="0.05" numFmtId="10"/>
      <inputCells r="D9" val="0.05" numFmtId="10"/>
      <inputCells r="E9" val="0.05" numFmtId="10"/>
      <inputCells r="B10" val="0.08" numFmtId="10"/>
      <inputCells r="C10" val="0.08" numFmtId="10"/>
      <inputCells r="D10" val="0.08" numFmtId="10"/>
      <inputCells r="E10" val="0.07" numFmtId="10"/>
      <inputCells r="B11" val="0.07" numFmtId="10"/>
      <inputCells r="C11" val="0.07" numFmtId="10"/>
      <inputCells r="D11" val="0.08" numFmtId="10"/>
      <inputCells r="E11" val="0.08" numFmtId="10"/>
      <inputCells r="C36" val="0.95" numFmtId="10"/>
      <inputCells r="D36" val="1.1" numFmtId="10"/>
      <inputCells r="E36" val="1.2" numFmtId="10"/>
      <inputCells r="F36" val="1.4" numFmtId="10"/>
    </scenario>
    <scenario name="Optimistic" locked="1" count="32" user="Kipras" comment="Created by Kipras on 2013.05.06_x000a_Modified by Kipras on 2013.05.06_x000a_Modified by Kipras on 5/6/2013_x000a_Modified by Vadim on 2013-05-06_x000a_Modified by Kipras on 2013.05.14">
      <inputCells r="B4" val="0.06"/>
      <inputCells r="C4" val="0.1"/>
      <inputCells r="D4" val="0.07"/>
      <inputCells r="E4" val="0.07"/>
      <inputCells r="B5" val="-0.01"/>
      <inputCells r="C5" val="0.12"/>
      <inputCells r="D5" val="0.05"/>
      <inputCells r="E5" val="0.05"/>
      <inputCells r="B6" val="-0.01"/>
      <inputCells r="C6" val="0.1"/>
      <inputCells r="D6" val="0.05"/>
      <inputCells r="E6" val="0.05"/>
      <inputCells r="B8" val="0.12"/>
      <inputCells r="C8" val="0.075"/>
      <inputCells r="D8" val="0.06"/>
      <inputCells r="E8" val="0.06"/>
      <inputCells r="B9" val="0.06"/>
      <inputCells r="C9" val="0.04"/>
      <inputCells r="D9" val="0.04"/>
      <inputCells r="E9" val="0.04"/>
      <inputCells r="B10" val="0.08"/>
      <inputCells r="C10" val="0.08"/>
      <inputCells r="D10" val="0.08"/>
      <inputCells r="E10" val="0.07"/>
      <inputCells r="B11" val="0.07"/>
      <inputCells r="C11" val="0.07"/>
      <inputCells r="D11" val="0.08"/>
      <inputCells r="E11" val="0.08"/>
      <inputCells r="C36" val="0.9"/>
      <inputCells r="D36" val="0.95"/>
      <inputCells r="E36" val="1"/>
      <inputCells r="F36" val="1.1"/>
    </scenario>
  </scenarios>
  <dataConsolidate/>
  <mergeCells count="1">
    <mergeCell ref="A1:F1"/>
  </mergeCell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zoomScale="85" zoomScaleNormal="85" workbookViewId="0">
      <pane ySplit="1" topLeftCell="A5" activePane="bottomLeft" state="frozen"/>
      <selection pane="bottomLeft" activeCell="A38" sqref="A38"/>
    </sheetView>
  </sheetViews>
  <sheetFormatPr defaultColWidth="17.140625" defaultRowHeight="12.75" customHeight="1" x14ac:dyDescent="0.2"/>
  <cols>
    <col min="1" max="1" width="27.5703125" customWidth="1"/>
    <col min="9" max="9" width="76.42578125" customWidth="1"/>
  </cols>
  <sheetData>
    <row r="1" spans="1:8" s="139" customFormat="1" ht="12.75" customHeight="1" x14ac:dyDescent="0.2">
      <c r="A1" s="383" t="s">
        <v>4</v>
      </c>
      <c r="B1" s="384">
        <v>2012</v>
      </c>
      <c r="C1" s="384" t="s">
        <v>127</v>
      </c>
      <c r="D1" s="384" t="s">
        <v>128</v>
      </c>
      <c r="E1" s="384" t="s">
        <v>129</v>
      </c>
      <c r="F1" s="384" t="s">
        <v>130</v>
      </c>
      <c r="G1" s="385" t="s">
        <v>131</v>
      </c>
      <c r="H1" s="138"/>
    </row>
    <row r="2" spans="1:8" ht="12.75" customHeight="1" x14ac:dyDescent="0.2">
      <c r="A2" s="456" t="s">
        <v>166</v>
      </c>
      <c r="B2" s="457"/>
      <c r="C2" s="457"/>
      <c r="D2" s="457"/>
      <c r="E2" s="457"/>
      <c r="F2" s="457"/>
      <c r="G2" s="458"/>
      <c r="H2" s="92"/>
    </row>
    <row r="3" spans="1:8" ht="12.75" customHeight="1" x14ac:dyDescent="0.2">
      <c r="A3" s="69" t="s">
        <v>167</v>
      </c>
      <c r="B3" s="77">
        <f>BS!B6</f>
        <v>13003</v>
      </c>
      <c r="C3" s="77">
        <f>B6</f>
        <v>12652</v>
      </c>
      <c r="D3" s="77">
        <f>C6</f>
        <v>14043.72</v>
      </c>
      <c r="E3" s="77">
        <f>D6</f>
        <v>13903.282800000001</v>
      </c>
      <c r="F3" s="77">
        <f>E6</f>
        <v>14181.348456000002</v>
      </c>
      <c r="G3" s="27">
        <f>F6</f>
        <v>14464.975425120003</v>
      </c>
      <c r="H3" s="92"/>
    </row>
    <row r="4" spans="1:8" ht="12.75" customHeight="1" x14ac:dyDescent="0.2">
      <c r="A4" s="92" t="s">
        <v>168</v>
      </c>
      <c r="B4" s="73">
        <v>701</v>
      </c>
      <c r="C4" s="73">
        <f>C3*Inputs!B20</f>
        <v>506.08</v>
      </c>
      <c r="D4" s="73">
        <f>D3*Inputs!C20</f>
        <v>561.74879999999996</v>
      </c>
      <c r="E4" s="73">
        <f>E3*Inputs!D20</f>
        <v>556.13131200000009</v>
      </c>
      <c r="F4" s="73">
        <f>F3*Inputs!E20</f>
        <v>567.25393824000002</v>
      </c>
      <c r="G4" s="62">
        <f>G3*Inputs!F20</f>
        <v>578.59901700480009</v>
      </c>
      <c r="H4" s="92"/>
    </row>
    <row r="5" spans="1:8" ht="12.75" customHeight="1" x14ac:dyDescent="0.2">
      <c r="A5" s="84" t="s">
        <v>169</v>
      </c>
      <c r="B5" s="57">
        <v>350</v>
      </c>
      <c r="C5" s="57">
        <f>(C6-C3)+C4</f>
        <v>1897.7999999999993</v>
      </c>
      <c r="D5" s="57">
        <f>(D6-D3)+D4</f>
        <v>421.31160000000148</v>
      </c>
      <c r="E5" s="57">
        <f>(E6-E3)+E4</f>
        <v>834.19696800000077</v>
      </c>
      <c r="F5" s="57">
        <f>(F6-F3)+F4</f>
        <v>850.8809073600014</v>
      </c>
      <c r="G5" s="82">
        <f>(G6-G3)+G4</f>
        <v>867.89852550719957</v>
      </c>
      <c r="H5" s="92"/>
    </row>
    <row r="6" spans="1:8" ht="12.75" customHeight="1" x14ac:dyDescent="0.2">
      <c r="A6" s="14" t="s">
        <v>170</v>
      </c>
      <c r="B6" s="15">
        <v>12652</v>
      </c>
      <c r="C6" s="15">
        <f>(B6*(1+Inputs!B41))-C4</f>
        <v>14043.72</v>
      </c>
      <c r="D6" s="15">
        <f>(C6*(1+Inputs!C41))-D4</f>
        <v>13903.282800000001</v>
      </c>
      <c r="E6" s="15">
        <f>(D6*(1+Inputs!D41))-E4</f>
        <v>14181.348456000002</v>
      </c>
      <c r="F6" s="15">
        <f>(E6*(1+Inputs!E41))-F4</f>
        <v>14464.975425120003</v>
      </c>
      <c r="G6" s="51">
        <f>(F6*(1+Inputs!F41))-G4</f>
        <v>14754.274933622402</v>
      </c>
      <c r="H6" s="92"/>
    </row>
    <row r="7" spans="1:8" ht="12.75" customHeight="1" x14ac:dyDescent="0.2">
      <c r="A7" s="4" t="s">
        <v>171</v>
      </c>
      <c r="B7" s="81">
        <f t="shared" ref="B7:G7" si="0">B4/B3</f>
        <v>5.391063600707529E-2</v>
      </c>
      <c r="C7" s="81">
        <f t="shared" si="0"/>
        <v>0.04</v>
      </c>
      <c r="D7" s="81">
        <f t="shared" si="0"/>
        <v>0.04</v>
      </c>
      <c r="E7" s="81">
        <f t="shared" si="0"/>
        <v>0.04</v>
      </c>
      <c r="F7" s="81">
        <f t="shared" si="0"/>
        <v>0.04</v>
      </c>
      <c r="G7" s="42">
        <f t="shared" si="0"/>
        <v>0.04</v>
      </c>
      <c r="H7" s="92"/>
    </row>
    <row r="8" spans="1:8" ht="12.75" customHeight="1" x14ac:dyDescent="0.2">
      <c r="A8" s="105"/>
      <c r="B8" s="105"/>
      <c r="C8" s="105"/>
      <c r="D8" s="105"/>
      <c r="E8" s="105"/>
      <c r="F8" s="105"/>
      <c r="G8" s="169"/>
    </row>
    <row r="9" spans="1:8" ht="12.75" customHeight="1" x14ac:dyDescent="0.2">
      <c r="A9" s="456" t="s">
        <v>146</v>
      </c>
      <c r="B9" s="457"/>
      <c r="C9" s="457"/>
      <c r="D9" s="457"/>
      <c r="E9" s="457"/>
      <c r="F9" s="457"/>
      <c r="G9" s="458"/>
      <c r="H9" s="92"/>
    </row>
    <row r="10" spans="1:8" ht="12.75" customHeight="1" x14ac:dyDescent="0.2">
      <c r="A10" s="69" t="s">
        <v>167</v>
      </c>
      <c r="B10" s="77">
        <f>BS!B7</f>
        <v>14988</v>
      </c>
      <c r="C10" s="77">
        <f>B13</f>
        <v>22848</v>
      </c>
      <c r="D10" s="77">
        <f>C13</f>
        <v>34843.199999999997</v>
      </c>
      <c r="E10" s="77">
        <f>D13</f>
        <v>33972.119999999995</v>
      </c>
      <c r="F10" s="77">
        <f>E13</f>
        <v>33122.816999999995</v>
      </c>
      <c r="G10" s="27">
        <f>F13</f>
        <v>31632.290235</v>
      </c>
      <c r="H10" s="92"/>
    </row>
    <row r="11" spans="1:8" ht="12.75" customHeight="1" x14ac:dyDescent="0.2">
      <c r="A11" s="92" t="s">
        <v>168</v>
      </c>
      <c r="B11" s="73">
        <v>3001</v>
      </c>
      <c r="C11" s="73">
        <f>C10*Inputs!B21</f>
        <v>2856</v>
      </c>
      <c r="D11" s="73">
        <f>D10*Inputs!C21</f>
        <v>4355.3999999999996</v>
      </c>
      <c r="E11" s="73">
        <f>E10*Inputs!D21</f>
        <v>4246.5149999999994</v>
      </c>
      <c r="F11" s="73">
        <f>F10*Inputs!E21</f>
        <v>4140.3521249999994</v>
      </c>
      <c r="G11" s="62">
        <f>G10*Inputs!F21</f>
        <v>3954.036279375</v>
      </c>
      <c r="H11" s="92"/>
    </row>
    <row r="12" spans="1:8" ht="12.75" customHeight="1" x14ac:dyDescent="0.2">
      <c r="A12" s="84" t="s">
        <v>169</v>
      </c>
      <c r="B12" s="57">
        <v>10861</v>
      </c>
      <c r="C12" s="57">
        <f>(C13-C10)+C11</f>
        <v>14851.199999999997</v>
      </c>
      <c r="D12" s="57">
        <f>(D13-D10)+D11</f>
        <v>3484.3199999999979</v>
      </c>
      <c r="E12" s="57">
        <f>(E13-E10)+E11</f>
        <v>3397.2119999999995</v>
      </c>
      <c r="F12" s="57">
        <f>(F13-F10)+F11</f>
        <v>2649.8253600000044</v>
      </c>
      <c r="G12" s="82">
        <f>(G13-G10)+G11</f>
        <v>2530.5832188000068</v>
      </c>
      <c r="H12" s="92"/>
    </row>
    <row r="13" spans="1:8" ht="12.75" customHeight="1" x14ac:dyDescent="0.2">
      <c r="A13" s="14" t="s">
        <v>170</v>
      </c>
      <c r="B13" s="15">
        <v>22848</v>
      </c>
      <c r="C13" s="15">
        <f>(B13*(1+Inputs!B42))-C11</f>
        <v>34843.199999999997</v>
      </c>
      <c r="D13" s="15">
        <f>(C13*(1+Inputs!C42))-D11</f>
        <v>33972.119999999995</v>
      </c>
      <c r="E13" s="15">
        <f>(D13*(1+Inputs!D42))-E11</f>
        <v>33122.816999999995</v>
      </c>
      <c r="F13" s="15">
        <f>(E13*(1+Inputs!E42))-F11</f>
        <v>31632.290235</v>
      </c>
      <c r="G13" s="51">
        <f>(F13*(1+Inputs!F42))-G11</f>
        <v>30208.837174425007</v>
      </c>
      <c r="H13" s="92"/>
    </row>
    <row r="14" spans="1:8" ht="12.75" customHeight="1" x14ac:dyDescent="0.2">
      <c r="A14" s="4" t="s">
        <v>168</v>
      </c>
      <c r="B14" s="81">
        <f t="shared" ref="B14:G14" si="1">B11/B10</f>
        <v>0.20022684814518282</v>
      </c>
      <c r="C14" s="81">
        <f t="shared" si="1"/>
        <v>0.125</v>
      </c>
      <c r="D14" s="81">
        <f t="shared" si="1"/>
        <v>0.125</v>
      </c>
      <c r="E14" s="81">
        <f t="shared" si="1"/>
        <v>0.125</v>
      </c>
      <c r="F14" s="81">
        <f t="shared" si="1"/>
        <v>0.125</v>
      </c>
      <c r="G14" s="42">
        <f t="shared" si="1"/>
        <v>0.125</v>
      </c>
      <c r="H14" s="92"/>
    </row>
    <row r="15" spans="1:8" ht="12.75" customHeight="1" x14ac:dyDescent="0.2">
      <c r="A15" s="105"/>
      <c r="B15" s="105"/>
      <c r="C15" s="105"/>
      <c r="D15" s="105"/>
      <c r="E15" s="105"/>
      <c r="F15" s="105"/>
      <c r="G15" s="169"/>
    </row>
    <row r="16" spans="1:8" ht="12.75" customHeight="1" x14ac:dyDescent="0.2">
      <c r="A16" s="456" t="s">
        <v>147</v>
      </c>
      <c r="B16" s="457"/>
      <c r="C16" s="457"/>
      <c r="D16" s="457"/>
      <c r="E16" s="457"/>
      <c r="F16" s="457"/>
      <c r="G16" s="458"/>
      <c r="H16" s="92"/>
    </row>
    <row r="17" spans="1:8" ht="12.75" customHeight="1" x14ac:dyDescent="0.2">
      <c r="A17" s="69" t="s">
        <v>167</v>
      </c>
      <c r="B17" s="77">
        <f>373</f>
        <v>373</v>
      </c>
      <c r="C17" s="77">
        <f>B20</f>
        <v>502</v>
      </c>
      <c r="D17" s="77">
        <f>C20</f>
        <v>512.04</v>
      </c>
      <c r="E17" s="77">
        <f>D20</f>
        <v>476.19719999999995</v>
      </c>
      <c r="F17" s="77">
        <f>E20</f>
        <v>452.38733999999994</v>
      </c>
      <c r="G17" s="27">
        <f>F20</f>
        <v>429.76797299999998</v>
      </c>
      <c r="H17" s="92"/>
    </row>
    <row r="18" spans="1:8" ht="12.75" customHeight="1" x14ac:dyDescent="0.2">
      <c r="A18" s="92" t="s">
        <v>168</v>
      </c>
      <c r="B18" s="73">
        <f>49</f>
        <v>49</v>
      </c>
      <c r="C18" s="73">
        <f>C17*Inputs!B22</f>
        <v>65.260000000000005</v>
      </c>
      <c r="D18" s="73">
        <f>D17*Inputs!C22</f>
        <v>66.565200000000004</v>
      </c>
      <c r="E18" s="73">
        <f>E17*Inputs!D22</f>
        <v>61.905635999999994</v>
      </c>
      <c r="F18" s="73">
        <f>F17*Inputs!E22</f>
        <v>58.810354199999992</v>
      </c>
      <c r="G18" s="62">
        <f>G17*Inputs!F22</f>
        <v>55.869836489999997</v>
      </c>
      <c r="H18" s="92"/>
    </row>
    <row r="19" spans="1:8" ht="12.75" customHeight="1" x14ac:dyDescent="0.2">
      <c r="A19" s="84" t="s">
        <v>169</v>
      </c>
      <c r="B19" s="57">
        <v>178</v>
      </c>
      <c r="C19" s="57">
        <f>(C20-C17)+C18</f>
        <v>75.299999999999969</v>
      </c>
      <c r="D19" s="57">
        <f>(D20-D17)+D18</f>
        <v>30.722399999999993</v>
      </c>
      <c r="E19" s="57">
        <f>(E20-E17)+E18</f>
        <v>38.095775999999979</v>
      </c>
      <c r="F19" s="57">
        <f>(F20-F17)+F18</f>
        <v>36.190987200000038</v>
      </c>
      <c r="G19" s="82">
        <f>(G20-G17)+G18</f>
        <v>34.381437840000032</v>
      </c>
      <c r="H19" s="92"/>
    </row>
    <row r="20" spans="1:8" ht="12.75" customHeight="1" x14ac:dyDescent="0.2">
      <c r="A20" s="14" t="s">
        <v>170</v>
      </c>
      <c r="B20" s="15">
        <f>502</f>
        <v>502</v>
      </c>
      <c r="C20" s="15">
        <f>(B20*(1+Inputs!B43))-C18</f>
        <v>512.04</v>
      </c>
      <c r="D20" s="15">
        <f>(C20*(1+Inputs!C43))-D18</f>
        <v>476.19719999999995</v>
      </c>
      <c r="E20" s="15">
        <f>(D20*(1+Inputs!D43))-E18</f>
        <v>452.38733999999994</v>
      </c>
      <c r="F20" s="15">
        <f>(E20*(1+Inputs!E43))-F18</f>
        <v>429.76797299999998</v>
      </c>
      <c r="G20" s="51">
        <f>(F20*(1+Inputs!F43))-G18</f>
        <v>408.27957435000002</v>
      </c>
      <c r="H20" s="92"/>
    </row>
    <row r="21" spans="1:8" ht="12.75" customHeight="1" x14ac:dyDescent="0.2">
      <c r="A21" s="4" t="s">
        <v>171</v>
      </c>
      <c r="B21" s="81">
        <f t="shared" ref="B21:G21" si="2">B18/B17</f>
        <v>0.13136729222520108</v>
      </c>
      <c r="C21" s="81">
        <f t="shared" si="2"/>
        <v>0.13</v>
      </c>
      <c r="D21" s="81">
        <f t="shared" si="2"/>
        <v>0.13</v>
      </c>
      <c r="E21" s="81">
        <f t="shared" si="2"/>
        <v>0.13</v>
      </c>
      <c r="F21" s="81">
        <f t="shared" si="2"/>
        <v>0.13</v>
      </c>
      <c r="G21" s="42">
        <f t="shared" si="2"/>
        <v>0.13</v>
      </c>
      <c r="H21" s="92"/>
    </row>
    <row r="22" spans="1:8" ht="12.75" customHeight="1" x14ac:dyDescent="0.2">
      <c r="A22" s="105"/>
      <c r="B22" s="105"/>
      <c r="C22" s="105"/>
      <c r="D22" s="105"/>
      <c r="E22" s="105"/>
      <c r="F22" s="105"/>
      <c r="G22" s="169"/>
    </row>
    <row r="23" spans="1:8" ht="12.75" customHeight="1" x14ac:dyDescent="0.2">
      <c r="A23" s="29" t="s">
        <v>172</v>
      </c>
      <c r="B23" s="6"/>
      <c r="C23" s="6"/>
      <c r="D23" s="6"/>
      <c r="E23" s="6"/>
      <c r="F23" s="6"/>
      <c r="G23" s="53"/>
      <c r="H23" s="92"/>
    </row>
    <row r="24" spans="1:8" ht="12.75" customHeight="1" x14ac:dyDescent="0.2">
      <c r="A24" s="69" t="s">
        <v>167</v>
      </c>
      <c r="B24" s="77">
        <f>1179</f>
        <v>1179</v>
      </c>
      <c r="C24" s="77">
        <f>B27</f>
        <v>2606</v>
      </c>
      <c r="D24" s="77">
        <f>C27</f>
        <v>2136.92</v>
      </c>
      <c r="E24" s="77">
        <f>D27</f>
        <v>1559.9515999999999</v>
      </c>
      <c r="F24" s="77">
        <f>E27</f>
        <v>1216.762248</v>
      </c>
      <c r="G24" s="27">
        <f>F27</f>
        <v>949.07455344000005</v>
      </c>
      <c r="H24" s="92"/>
    </row>
    <row r="25" spans="1:8" ht="12.75" customHeight="1" x14ac:dyDescent="0.2">
      <c r="A25" s="92" t="s">
        <v>168</v>
      </c>
      <c r="B25" s="73">
        <v>27</v>
      </c>
      <c r="C25" s="73">
        <f>C24*Inputs!B23</f>
        <v>651.5</v>
      </c>
      <c r="D25" s="73">
        <f>D24*Inputs!C23</f>
        <v>534.23</v>
      </c>
      <c r="E25" s="73">
        <f>E24*Inputs!D23</f>
        <v>389.98789999999997</v>
      </c>
      <c r="F25" s="73">
        <f>F24*Inputs!E23</f>
        <v>304.190562</v>
      </c>
      <c r="G25" s="62">
        <f>G24*Inputs!F23</f>
        <v>237.26863836000001</v>
      </c>
      <c r="H25" s="92"/>
    </row>
    <row r="26" spans="1:8" ht="12.75" customHeight="1" x14ac:dyDescent="0.2">
      <c r="A26" s="84" t="s">
        <v>169</v>
      </c>
      <c r="B26" s="57">
        <v>1454</v>
      </c>
      <c r="C26" s="57">
        <f>(C27-C24)+C25</f>
        <v>182.42000000000007</v>
      </c>
      <c r="D26" s="57">
        <f>(D27-D24)+D25</f>
        <v>-42.738400000000183</v>
      </c>
      <c r="E26" s="57">
        <f>(E27-E24)+E25</f>
        <v>46.798548000000096</v>
      </c>
      <c r="F26" s="57">
        <f>(F27-F24)+F25</f>
        <v>36.502867440000045</v>
      </c>
      <c r="G26" s="82">
        <f>(G27-G24)+G25</f>
        <v>28.472236603200088</v>
      </c>
      <c r="H26" s="92"/>
    </row>
    <row r="27" spans="1:8" ht="12.75" customHeight="1" x14ac:dyDescent="0.2">
      <c r="A27" s="14" t="s">
        <v>170</v>
      </c>
      <c r="B27" s="15">
        <f>2606</f>
        <v>2606</v>
      </c>
      <c r="C27" s="15">
        <f>(B27*(1+Inputs!B44))-C25</f>
        <v>2136.92</v>
      </c>
      <c r="D27" s="15">
        <f>(C27*(1+Inputs!C44))-D25</f>
        <v>1559.9515999999999</v>
      </c>
      <c r="E27" s="15">
        <f>(D27*(1+Inputs!D44))-E25</f>
        <v>1216.762248</v>
      </c>
      <c r="F27" s="15">
        <f>(E27*(1+Inputs!E44))-F25</f>
        <v>949.07455344000005</v>
      </c>
      <c r="G27" s="51">
        <f>(F27*(1+Inputs!F44))-G25</f>
        <v>740.27815168320012</v>
      </c>
      <c r="H27" s="92"/>
    </row>
    <row r="28" spans="1:8" ht="12.75" customHeight="1" x14ac:dyDescent="0.2">
      <c r="A28" s="4" t="s">
        <v>171</v>
      </c>
      <c r="B28" s="81">
        <f t="shared" ref="B28:G28" si="3">B25/B24</f>
        <v>2.2900763358778626E-2</v>
      </c>
      <c r="C28" s="81">
        <f t="shared" si="3"/>
        <v>0.25</v>
      </c>
      <c r="D28" s="81">
        <f t="shared" si="3"/>
        <v>0.25</v>
      </c>
      <c r="E28" s="81">
        <f t="shared" si="3"/>
        <v>0.25</v>
      </c>
      <c r="F28" s="81">
        <f t="shared" si="3"/>
        <v>0.25</v>
      </c>
      <c r="G28" s="42">
        <f t="shared" si="3"/>
        <v>0.25</v>
      </c>
      <c r="H28" s="92"/>
    </row>
    <row r="29" spans="1:8" ht="12.75" customHeight="1" x14ac:dyDescent="0.2">
      <c r="A29" s="105"/>
      <c r="B29" s="105"/>
      <c r="C29" s="105"/>
      <c r="D29" s="105"/>
      <c r="E29" s="105"/>
      <c r="F29" s="105"/>
      <c r="G29" s="169"/>
    </row>
    <row r="30" spans="1:8" ht="12.75" customHeight="1" x14ac:dyDescent="0.2">
      <c r="A30" s="29" t="s">
        <v>149</v>
      </c>
      <c r="B30" s="99"/>
      <c r="C30" s="13"/>
      <c r="D30" s="13"/>
      <c r="E30" s="13"/>
      <c r="F30" s="13"/>
      <c r="G30" s="45"/>
      <c r="H30" s="92"/>
    </row>
    <row r="31" spans="1:8" ht="12.75" customHeight="1" x14ac:dyDescent="0.2">
      <c r="A31" s="69" t="s">
        <v>167</v>
      </c>
      <c r="B31" s="77">
        <v>187</v>
      </c>
      <c r="C31" s="77">
        <f>B34</f>
        <v>57</v>
      </c>
      <c r="D31" s="77">
        <f>C34</f>
        <v>54.72</v>
      </c>
      <c r="E31" s="77">
        <f>D34</f>
        <v>48.700799999999994</v>
      </c>
      <c r="F31" s="77">
        <f>E34</f>
        <v>45.77875199999999</v>
      </c>
      <c r="G31" s="27">
        <f>F34</f>
        <v>43.032026879999989</v>
      </c>
      <c r="H31" s="92"/>
    </row>
    <row r="32" spans="1:8" ht="12.75" customHeight="1" x14ac:dyDescent="0.2">
      <c r="A32" s="92" t="s">
        <v>173</v>
      </c>
      <c r="B32" s="73">
        <v>108</v>
      </c>
      <c r="C32" s="73">
        <f>C31*Inputs!B24</f>
        <v>4.5600000000000005</v>
      </c>
      <c r="D32" s="73">
        <f>D31*Inputs!C24</f>
        <v>4.3776000000000002</v>
      </c>
      <c r="E32" s="73">
        <f>E31*Inputs!D24</f>
        <v>3.8960639999999995</v>
      </c>
      <c r="F32" s="73">
        <f>F31*Inputs!E24</f>
        <v>3.6623001599999991</v>
      </c>
      <c r="G32" s="62">
        <f>G31*Inputs!F24</f>
        <v>3.4425621503999992</v>
      </c>
      <c r="H32" s="92"/>
    </row>
    <row r="33" spans="1:8" ht="12.75" customHeight="1" x14ac:dyDescent="0.2">
      <c r="A33" s="84" t="s">
        <v>169</v>
      </c>
      <c r="B33" s="57">
        <v>-22</v>
      </c>
      <c r="C33" s="57">
        <f>(C34-C31)+C32</f>
        <v>2.2799999999999994</v>
      </c>
      <c r="D33" s="57">
        <f>(D34-D31)+D32</f>
        <v>-1.6416000000000048</v>
      </c>
      <c r="E33" s="57">
        <f>(E34-E31)+E32</f>
        <v>0.97401599999999577</v>
      </c>
      <c r="F33" s="57">
        <f>(F34-F31)+F32</f>
        <v>0.91557503999999845</v>
      </c>
      <c r="G33" s="82">
        <f>(G34-G31)+G32</f>
        <v>0.86064053759999704</v>
      </c>
      <c r="H33" s="92"/>
    </row>
    <row r="34" spans="1:8" ht="12.75" customHeight="1" x14ac:dyDescent="0.2">
      <c r="A34" s="14" t="s">
        <v>170</v>
      </c>
      <c r="B34" s="15">
        <v>57</v>
      </c>
      <c r="C34" s="15">
        <f>(B34*(1+Inputs!B45))-C32</f>
        <v>54.72</v>
      </c>
      <c r="D34" s="15">
        <f>(C34*(1+Inputs!C45))-D32</f>
        <v>48.700799999999994</v>
      </c>
      <c r="E34" s="15">
        <f>(D34*(1+Inputs!D45))-E32</f>
        <v>45.77875199999999</v>
      </c>
      <c r="F34" s="15">
        <f>(E34*(1+Inputs!E45))-F32</f>
        <v>43.032026879999989</v>
      </c>
      <c r="G34" s="51">
        <f>(F34*(1+Inputs!F45))-G32</f>
        <v>40.450105267199987</v>
      </c>
      <c r="H34" s="92"/>
    </row>
    <row r="35" spans="1:8" ht="12.75" customHeight="1" x14ac:dyDescent="0.2">
      <c r="A35" s="4" t="s">
        <v>174</v>
      </c>
      <c r="B35" s="81">
        <f t="shared" ref="B35:G35" si="4">B32/B31</f>
        <v>0.57754010695187163</v>
      </c>
      <c r="C35" s="81">
        <f t="shared" si="4"/>
        <v>8.0000000000000016E-2</v>
      </c>
      <c r="D35" s="81">
        <f t="shared" si="4"/>
        <v>0.08</v>
      </c>
      <c r="E35" s="81">
        <f t="shared" si="4"/>
        <v>0.08</v>
      </c>
      <c r="F35" s="81">
        <f t="shared" si="4"/>
        <v>0.08</v>
      </c>
      <c r="G35" s="42">
        <f t="shared" si="4"/>
        <v>0.08</v>
      </c>
      <c r="H35" s="92"/>
    </row>
    <row r="36" spans="1:8" ht="12.75" customHeight="1" x14ac:dyDescent="0.2">
      <c r="A36" s="79"/>
      <c r="B36" s="79"/>
      <c r="C36" s="79"/>
      <c r="D36" s="79"/>
      <c r="E36" s="79"/>
      <c r="F36" s="79"/>
      <c r="G36" s="79"/>
    </row>
  </sheetData>
  <mergeCells count="3">
    <mergeCell ref="A2:G2"/>
    <mergeCell ref="A9:G9"/>
    <mergeCell ref="A16:G1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29"/>
  <sheetViews>
    <sheetView zoomScale="85" zoomScaleNormal="85" workbookViewId="0">
      <selection activeCell="J30" sqref="J30"/>
    </sheetView>
  </sheetViews>
  <sheetFormatPr defaultColWidth="17.140625" defaultRowHeight="12.75" customHeight="1" x14ac:dyDescent="0.2"/>
  <cols>
    <col min="1" max="1" width="37.140625" customWidth="1"/>
  </cols>
  <sheetData>
    <row r="1" spans="1:13" ht="12.75" customHeight="1" x14ac:dyDescent="0.2">
      <c r="A1" s="459" t="s">
        <v>175</v>
      </c>
      <c r="B1" s="460"/>
      <c r="C1" s="460"/>
      <c r="D1" s="460"/>
      <c r="E1" s="460"/>
      <c r="F1" s="460"/>
      <c r="G1" s="460"/>
      <c r="H1" s="461"/>
      <c r="I1" s="125"/>
      <c r="J1" s="118"/>
      <c r="K1" s="118"/>
      <c r="L1" s="118"/>
      <c r="M1" s="118"/>
    </row>
    <row r="2" spans="1:13" ht="12.75" customHeight="1" x14ac:dyDescent="0.2">
      <c r="A2" s="148" t="s">
        <v>4</v>
      </c>
      <c r="B2" s="149">
        <v>2011</v>
      </c>
      <c r="C2" s="149">
        <v>2012</v>
      </c>
      <c r="D2" s="150" t="s">
        <v>127</v>
      </c>
      <c r="E2" s="150" t="s">
        <v>128</v>
      </c>
      <c r="F2" s="150" t="s">
        <v>129</v>
      </c>
      <c r="G2" s="150" t="s">
        <v>130</v>
      </c>
      <c r="H2" s="151" t="s">
        <v>131</v>
      </c>
      <c r="I2" s="140"/>
      <c r="J2" s="118"/>
      <c r="K2" s="118"/>
      <c r="L2" s="118"/>
      <c r="M2" s="118"/>
    </row>
    <row r="3" spans="1:13" ht="12.75" customHeight="1" x14ac:dyDescent="0.2">
      <c r="A3" s="92" t="s">
        <v>176</v>
      </c>
      <c r="B3" s="48"/>
      <c r="C3" s="48"/>
      <c r="D3" s="118"/>
      <c r="E3" s="118"/>
      <c r="F3" s="118"/>
      <c r="G3" s="118"/>
      <c r="H3" s="143"/>
      <c r="I3" s="125"/>
      <c r="J3" s="118"/>
      <c r="K3" s="118"/>
      <c r="L3" s="118"/>
      <c r="M3" s="118"/>
    </row>
    <row r="4" spans="1:13" ht="12.75" customHeight="1" x14ac:dyDescent="0.2">
      <c r="A4" s="61" t="s">
        <v>177</v>
      </c>
      <c r="B4" s="24">
        <v>5977</v>
      </c>
      <c r="C4" s="24">
        <v>4543</v>
      </c>
      <c r="D4" s="73">
        <f>C4*(1+Inputs!B4)</f>
        <v>4997.3</v>
      </c>
      <c r="E4" s="73">
        <f>D4*(1+Inputs!C4)</f>
        <v>5397.0840000000007</v>
      </c>
      <c r="F4" s="73">
        <f>E4*(1+Inputs!D4)</f>
        <v>5774.8798800000013</v>
      </c>
      <c r="G4" s="73">
        <f>F4*(1+Inputs!E4)</f>
        <v>6179.1214716000022</v>
      </c>
      <c r="H4" s="62">
        <f>G4*(1+Inputs!F4)</f>
        <v>6488.0775451800027</v>
      </c>
      <c r="I4" s="125"/>
      <c r="J4" s="120"/>
      <c r="K4" s="118"/>
      <c r="L4" s="118"/>
      <c r="M4" s="118"/>
    </row>
    <row r="5" spans="1:13" ht="12.75" customHeight="1" x14ac:dyDescent="0.2">
      <c r="A5" s="60" t="s">
        <v>178</v>
      </c>
      <c r="B5" s="24">
        <v>206170</v>
      </c>
      <c r="C5" s="24">
        <v>185440</v>
      </c>
      <c r="D5" s="73">
        <f>C5*(1+Inputs!B5)</f>
        <v>182658.4</v>
      </c>
      <c r="E5" s="73">
        <f>D5*(1+Inputs!C5)</f>
        <v>205490.69999999998</v>
      </c>
      <c r="F5" s="73">
        <f>E5*(1+Inputs!D5)</f>
        <v>216792.68849999996</v>
      </c>
      <c r="G5" s="73">
        <f>F5*(1+Inputs!E5)</f>
        <v>228716.28636749994</v>
      </c>
      <c r="H5" s="62">
        <f>G5*(1+Inputs!F5)</f>
        <v>240152.10068587493</v>
      </c>
      <c r="I5" s="125"/>
      <c r="J5" s="120"/>
      <c r="K5" s="118"/>
      <c r="L5" s="118"/>
      <c r="M5" s="118"/>
    </row>
    <row r="6" spans="1:13" ht="12.75" customHeight="1" x14ac:dyDescent="0.2">
      <c r="A6" s="84" t="s">
        <v>135</v>
      </c>
      <c r="B6" s="41">
        <v>26221</v>
      </c>
      <c r="C6" s="41">
        <v>40158</v>
      </c>
      <c r="D6" s="57">
        <f>C6*(1+Inputs!B6)</f>
        <v>39354.839999999997</v>
      </c>
      <c r="E6" s="57">
        <f>D6*(1+Inputs!C6)</f>
        <v>42503.227200000001</v>
      </c>
      <c r="F6" s="57">
        <f>E6*(1+Inputs!D6)</f>
        <v>44415.872424000001</v>
      </c>
      <c r="G6" s="57">
        <f>F6*(1+Inputs!E6)</f>
        <v>46414.586683080001</v>
      </c>
      <c r="H6" s="82">
        <f>G6*(1+Inputs!F6)</f>
        <v>48735.316017233999</v>
      </c>
      <c r="I6" s="125"/>
      <c r="J6" s="120"/>
      <c r="K6" s="118"/>
      <c r="L6" s="118"/>
      <c r="M6" s="118"/>
    </row>
    <row r="7" spans="1:13" ht="12.75" customHeight="1" x14ac:dyDescent="0.2">
      <c r="A7" s="63"/>
      <c r="B7" s="86">
        <f t="shared" ref="B7:H7" si="0">SUM(B4:B6)</f>
        <v>238368</v>
      </c>
      <c r="C7" s="86">
        <f t="shared" si="0"/>
        <v>230141</v>
      </c>
      <c r="D7" s="144">
        <f t="shared" si="0"/>
        <v>227010.53999999998</v>
      </c>
      <c r="E7" s="144">
        <f t="shared" si="0"/>
        <v>253391.01119999998</v>
      </c>
      <c r="F7" s="144">
        <f t="shared" si="0"/>
        <v>266983.44080399995</v>
      </c>
      <c r="G7" s="144">
        <f t="shared" si="0"/>
        <v>281309.99452217994</v>
      </c>
      <c r="H7" s="145">
        <f t="shared" si="0"/>
        <v>295375.49424828892</v>
      </c>
      <c r="I7" s="125"/>
      <c r="J7" s="141"/>
      <c r="K7" s="118"/>
      <c r="L7" s="118"/>
      <c r="M7" s="118"/>
    </row>
    <row r="8" spans="1:13" ht="12.75" customHeight="1" x14ac:dyDescent="0.2">
      <c r="A8" s="92" t="s">
        <v>179</v>
      </c>
      <c r="B8" s="24"/>
      <c r="C8" s="24"/>
      <c r="D8" s="120"/>
      <c r="E8" s="120"/>
      <c r="F8" s="120"/>
      <c r="G8" s="120"/>
      <c r="H8" s="122"/>
      <c r="I8" s="125"/>
      <c r="J8" s="120"/>
      <c r="K8" s="118"/>
      <c r="L8" s="118"/>
      <c r="M8" s="118"/>
    </row>
    <row r="9" spans="1:13" ht="12.75" customHeight="1" x14ac:dyDescent="0.2">
      <c r="A9" s="92" t="s">
        <v>137</v>
      </c>
      <c r="B9" s="24">
        <v>-153240</v>
      </c>
      <c r="C9" s="24">
        <v>-146337</v>
      </c>
      <c r="D9" s="120">
        <f>C9*(1+Inputs!B8)</f>
        <v>-164629.125</v>
      </c>
      <c r="E9" s="120">
        <f>D9*(1+Inputs!C8)</f>
        <v>-175330.018125</v>
      </c>
      <c r="F9" s="120">
        <f>E9*(1+Inputs!D8)</f>
        <v>-187603.11939375001</v>
      </c>
      <c r="G9" s="120">
        <f>F9*(1+Inputs!E8)</f>
        <v>-200735.33775131253</v>
      </c>
      <c r="H9" s="121">
        <f>G9*(1+Inputs!F8)</f>
        <v>-214786.81139390441</v>
      </c>
      <c r="I9" s="136"/>
      <c r="J9" s="120"/>
      <c r="K9" s="118"/>
      <c r="L9" s="118"/>
      <c r="M9" s="118"/>
    </row>
    <row r="10" spans="1:13" s="401" customFormat="1" ht="12.75" customHeight="1" x14ac:dyDescent="0.2">
      <c r="A10" s="404" t="s">
        <v>467</v>
      </c>
      <c r="B10" s="408">
        <f>-B9/B7</f>
        <v>0.64287152637937983</v>
      </c>
      <c r="C10" s="408">
        <f t="shared" ref="C10:H10" si="1">-C9/C7</f>
        <v>0.63585801747624282</v>
      </c>
      <c r="D10" s="409">
        <f t="shared" si="1"/>
        <v>0.72520476362022668</v>
      </c>
      <c r="E10" s="409">
        <f t="shared" si="1"/>
        <v>0.69193464004377447</v>
      </c>
      <c r="F10" s="409">
        <f t="shared" si="1"/>
        <v>0.70267698561677738</v>
      </c>
      <c r="G10" s="409">
        <f t="shared" si="1"/>
        <v>0.71357343023760045</v>
      </c>
      <c r="H10" s="410">
        <f t="shared" si="1"/>
        <v>0.72716530509926913</v>
      </c>
      <c r="I10" s="402"/>
      <c r="J10" s="403"/>
      <c r="K10" s="400"/>
      <c r="L10" s="400"/>
      <c r="M10" s="400"/>
    </row>
    <row r="11" spans="1:13" ht="12.75" customHeight="1" x14ac:dyDescent="0.2">
      <c r="A11" s="219" t="s">
        <v>138</v>
      </c>
      <c r="B11" s="393">
        <v>-37331</v>
      </c>
      <c r="C11" s="393">
        <v>-35333</v>
      </c>
      <c r="D11" s="176">
        <f>C11*(1+Inputs!B9)</f>
        <v>-37452.980000000003</v>
      </c>
      <c r="E11" s="176">
        <f>D11*(1+Inputs!C9)</f>
        <v>-38951.099200000004</v>
      </c>
      <c r="F11" s="176">
        <f>E11*(1+Inputs!D9)</f>
        <v>-41288.165152000009</v>
      </c>
      <c r="G11" s="176">
        <f>F11*(1+Inputs!E9)</f>
        <v>-43765.45506112001</v>
      </c>
      <c r="H11" s="121">
        <f>G11*(1+Inputs!F9)</f>
        <v>-46391.382364787212</v>
      </c>
      <c r="I11" s="136"/>
      <c r="J11" s="120"/>
      <c r="K11" s="118"/>
      <c r="L11" s="118"/>
      <c r="M11" s="118"/>
    </row>
    <row r="12" spans="1:13" s="401" customFormat="1" ht="12.75" customHeight="1" x14ac:dyDescent="0.2">
      <c r="A12" s="398" t="s">
        <v>467</v>
      </c>
      <c r="B12" s="405">
        <f>-B11/B7</f>
        <v>0.1566107866827762</v>
      </c>
      <c r="C12" s="405">
        <f t="shared" ref="C12:H12" si="2">-C11/C7</f>
        <v>0.153527620024246</v>
      </c>
      <c r="D12" s="406">
        <f t="shared" si="2"/>
        <v>0.16498344085697522</v>
      </c>
      <c r="E12" s="406">
        <f t="shared" si="2"/>
        <v>0.15371934077510011</v>
      </c>
      <c r="F12" s="406">
        <f t="shared" si="2"/>
        <v>0.15464691378485459</v>
      </c>
      <c r="G12" s="406">
        <f t="shared" si="2"/>
        <v>0.15557732008582906</v>
      </c>
      <c r="H12" s="407">
        <f t="shared" si="2"/>
        <v>0.15705900884855126</v>
      </c>
      <c r="I12" s="402"/>
      <c r="J12" s="403"/>
      <c r="K12" s="400"/>
      <c r="L12" s="400"/>
      <c r="M12" s="400"/>
    </row>
    <row r="13" spans="1:13" ht="12.75" customHeight="1" x14ac:dyDescent="0.2">
      <c r="A13" s="394"/>
      <c r="B13" s="395">
        <f t="shared" ref="B13:H13" si="3">SUM(B9:B11)</f>
        <v>-190570.35712847361</v>
      </c>
      <c r="C13" s="395">
        <f t="shared" si="3"/>
        <v>-181669.36414198251</v>
      </c>
      <c r="D13" s="396">
        <f t="shared" si="3"/>
        <v>-202081.3797952364</v>
      </c>
      <c r="E13" s="396">
        <f t="shared" si="3"/>
        <v>-214280.42539035995</v>
      </c>
      <c r="F13" s="396">
        <f t="shared" si="3"/>
        <v>-228890.58186876439</v>
      </c>
      <c r="G13" s="396">
        <f t="shared" si="3"/>
        <v>-244500.07923900231</v>
      </c>
      <c r="H13" s="397">
        <f t="shared" si="3"/>
        <v>-261177.46659338655</v>
      </c>
      <c r="I13" s="136"/>
      <c r="J13" s="141"/>
      <c r="K13" s="118"/>
      <c r="L13" s="118"/>
      <c r="M13" s="118"/>
    </row>
    <row r="14" spans="1:13" s="401" customFormat="1" ht="12.75" customHeight="1" x14ac:dyDescent="0.2">
      <c r="A14" s="398" t="s">
        <v>467</v>
      </c>
      <c r="B14" s="411">
        <f>-B13/B7</f>
        <v>0.79947961609139484</v>
      </c>
      <c r="C14" s="411">
        <f t="shared" ref="C14:H14" si="4">-C13/C7</f>
        <v>0.78938287459419454</v>
      </c>
      <c r="D14" s="412">
        <f t="shared" si="4"/>
        <v>0.89018500989089056</v>
      </c>
      <c r="E14" s="412">
        <f t="shared" si="4"/>
        <v>0.84565125011964104</v>
      </c>
      <c r="F14" s="412">
        <f t="shared" si="4"/>
        <v>0.8573212674893923</v>
      </c>
      <c r="G14" s="412">
        <f t="shared" si="4"/>
        <v>0.8691482137145492</v>
      </c>
      <c r="H14" s="413">
        <f t="shared" si="4"/>
        <v>0.88422185211425852</v>
      </c>
      <c r="I14" s="402"/>
      <c r="J14" s="399"/>
      <c r="K14" s="400"/>
      <c r="L14" s="400"/>
      <c r="M14" s="400"/>
    </row>
    <row r="15" spans="1:13" ht="12.75" customHeight="1" x14ac:dyDescent="0.2">
      <c r="A15" s="34" t="s">
        <v>180</v>
      </c>
      <c r="B15" s="55">
        <f t="shared" ref="B15:H15" si="5">B7+B13</f>
        <v>47797.64287152639</v>
      </c>
      <c r="C15" s="55">
        <f t="shared" si="5"/>
        <v>48471.635858017486</v>
      </c>
      <c r="D15" s="55">
        <f t="shared" si="5"/>
        <v>24929.160204763582</v>
      </c>
      <c r="E15" s="55">
        <f t="shared" si="5"/>
        <v>39110.585809640033</v>
      </c>
      <c r="F15" s="55">
        <f t="shared" si="5"/>
        <v>38092.858935235563</v>
      </c>
      <c r="G15" s="55">
        <f t="shared" si="5"/>
        <v>36809.91528317763</v>
      </c>
      <c r="H15" s="83">
        <f t="shared" si="5"/>
        <v>34198.027654902369</v>
      </c>
      <c r="I15" s="125"/>
      <c r="J15" s="141"/>
      <c r="K15" s="118"/>
      <c r="L15" s="118"/>
      <c r="M15" s="118"/>
    </row>
    <row r="16" spans="1:13" ht="12.75" customHeight="1" x14ac:dyDescent="0.2">
      <c r="A16" s="50" t="s">
        <v>181</v>
      </c>
      <c r="B16" s="10"/>
      <c r="C16" s="10"/>
      <c r="D16" s="77"/>
      <c r="E16" s="77"/>
      <c r="F16" s="77"/>
      <c r="G16" s="77"/>
      <c r="H16" s="27"/>
      <c r="I16" s="125"/>
      <c r="J16" s="120"/>
      <c r="K16" s="118"/>
      <c r="L16" s="118"/>
      <c r="M16" s="118"/>
    </row>
    <row r="17" spans="1:13" ht="12.75" customHeight="1" x14ac:dyDescent="0.2">
      <c r="A17" s="92" t="s">
        <v>139</v>
      </c>
      <c r="B17" s="24">
        <v>-3167</v>
      </c>
      <c r="C17" s="24">
        <v>-3377</v>
      </c>
      <c r="D17" s="73">
        <f>C17*(1+Inputs!B9)</f>
        <v>-3579.6200000000003</v>
      </c>
      <c r="E17" s="73">
        <f>D17*(1+Inputs!C10)</f>
        <v>-3865.9896000000008</v>
      </c>
      <c r="F17" s="73">
        <f>E17*(1+Inputs!D10)</f>
        <v>-4175.2687680000008</v>
      </c>
      <c r="G17" s="73">
        <f>F17*(1+Inputs!E10)</f>
        <v>-4467.5375817600016</v>
      </c>
      <c r="H17" s="62">
        <f>G17*(1+Inputs!F10)</f>
        <v>-4780.265212483202</v>
      </c>
      <c r="I17" s="125"/>
      <c r="J17" s="120"/>
      <c r="K17" s="118"/>
      <c r="L17" s="118"/>
      <c r="M17" s="118"/>
    </row>
    <row r="18" spans="1:13" ht="12.75" customHeight="1" x14ac:dyDescent="0.2">
      <c r="A18" s="92" t="s">
        <v>140</v>
      </c>
      <c r="B18" s="24">
        <v>-4159</v>
      </c>
      <c r="C18" s="24">
        <v>-4451</v>
      </c>
      <c r="D18" s="73">
        <f>C18*(1+Inputs!B11)</f>
        <v>-4762.5700000000006</v>
      </c>
      <c r="E18" s="73">
        <f>D18*(1+Inputs!C11)</f>
        <v>-5095.9499000000005</v>
      </c>
      <c r="F18" s="73">
        <f>E18*(1+Inputs!D11)</f>
        <v>-5503.6258920000009</v>
      </c>
      <c r="G18" s="73">
        <f>F18*(1+Inputs!E11)</f>
        <v>-5943.9159633600011</v>
      </c>
      <c r="H18" s="62">
        <f>G18*(1+Inputs!F11)</f>
        <v>-6419.4292404288017</v>
      </c>
      <c r="I18" s="125"/>
      <c r="J18" s="120"/>
      <c r="K18" s="118"/>
      <c r="L18" s="118"/>
      <c r="M18" s="118"/>
    </row>
    <row r="19" spans="1:13" ht="12.75" customHeight="1" x14ac:dyDescent="0.2">
      <c r="A19" s="92" t="s">
        <v>141</v>
      </c>
      <c r="B19" s="24">
        <f>(((12667-495)+B17)+B18)*-1</f>
        <v>-4846</v>
      </c>
      <c r="C19" s="24">
        <f>(((14951-441)+C17)+C18)*-1</f>
        <v>-6682</v>
      </c>
      <c r="D19" s="73">
        <f>C19*(1+Inputs!B12)</f>
        <v>-6481.54</v>
      </c>
      <c r="E19" s="73">
        <f>D19*(1+Inputs!C12)</f>
        <v>-6287.0937999999996</v>
      </c>
      <c r="F19" s="73">
        <f>E19*(1+Inputs!D12)</f>
        <v>-6161.3519239999996</v>
      </c>
      <c r="G19" s="73">
        <f>F19*(1+Inputs!E12)</f>
        <v>-6038.1248855199992</v>
      </c>
      <c r="H19" s="62">
        <f>G19*(1+Inputs!F12)</f>
        <v>-5917.3623878095996</v>
      </c>
      <c r="I19" s="125"/>
      <c r="J19" s="120"/>
      <c r="K19" s="118"/>
      <c r="L19" s="118"/>
      <c r="M19" s="118"/>
    </row>
    <row r="20" spans="1:13" ht="12.75" customHeight="1" x14ac:dyDescent="0.2">
      <c r="A20" s="92" t="s">
        <v>182</v>
      </c>
      <c r="B20" s="24">
        <v>1424</v>
      </c>
      <c r="C20" s="24">
        <v>1490</v>
      </c>
      <c r="D20" s="73">
        <f>C20*(1+Inputs!B18)</f>
        <v>1534.7</v>
      </c>
      <c r="E20" s="73">
        <f>D20*(1+Inputs!C18)</f>
        <v>1580.741</v>
      </c>
      <c r="F20" s="73">
        <f>E20*(1+Inputs!D18)</f>
        <v>1628.1632300000001</v>
      </c>
      <c r="G20" s="73">
        <f>F20*(1+Inputs!E18)</f>
        <v>1677.0081269000002</v>
      </c>
      <c r="H20" s="73">
        <f>G20*(1+Inputs!F18)</f>
        <v>1727.3183707070002</v>
      </c>
      <c r="I20" s="125"/>
      <c r="J20" s="120"/>
      <c r="K20" s="118"/>
      <c r="L20" s="118"/>
      <c r="M20" s="118"/>
    </row>
    <row r="21" spans="1:13" ht="12.75" customHeight="1" x14ac:dyDescent="0.2">
      <c r="A21" s="84" t="s">
        <v>183</v>
      </c>
      <c r="B21" s="41">
        <v>-792</v>
      </c>
      <c r="C21" s="41">
        <v>-854</v>
      </c>
      <c r="D21" s="57">
        <f>C21*(1+Inputs!B13)</f>
        <v>-871.08</v>
      </c>
      <c r="E21" s="57">
        <f>D21*(1+Inputs!C13)</f>
        <v>-888.50160000000005</v>
      </c>
      <c r="F21" s="57">
        <f>E21*(1+Inputs!D13)</f>
        <v>-906.27163200000007</v>
      </c>
      <c r="G21" s="57">
        <f>F21*(1+Inputs!E13)</f>
        <v>-924.39706464000005</v>
      </c>
      <c r="H21" s="82">
        <f>G21*(1+Inputs!F13)</f>
        <v>-942.88500593280003</v>
      </c>
      <c r="I21" s="125"/>
      <c r="J21" s="120"/>
      <c r="K21" s="118"/>
      <c r="L21" s="118"/>
      <c r="M21" s="118"/>
    </row>
    <row r="22" spans="1:13" ht="12.75" customHeight="1" x14ac:dyDescent="0.2">
      <c r="A22" s="34" t="s">
        <v>184</v>
      </c>
      <c r="B22" s="55">
        <f>SUM(B15:B21)</f>
        <v>36257.64287152639</v>
      </c>
      <c r="C22" s="55">
        <f>SUM(C15:C21)</f>
        <v>34597.635858017486</v>
      </c>
      <c r="D22" s="55">
        <f>D15+SUM(D17:D21)</f>
        <v>10769.050204763584</v>
      </c>
      <c r="E22" s="55">
        <f>E15+SUM(E17:E21)</f>
        <v>24553.791909640036</v>
      </c>
      <c r="F22" s="55">
        <f>F15+SUM(F17:F21)</f>
        <v>22974.503949235565</v>
      </c>
      <c r="G22" s="55">
        <f>G15+SUM(G17:G21)</f>
        <v>21112.947914797631</v>
      </c>
      <c r="H22" s="83">
        <f>H15+SUM(H17:H21)</f>
        <v>17865.404178954966</v>
      </c>
      <c r="I22" s="125"/>
      <c r="J22" s="141"/>
      <c r="K22" s="118"/>
      <c r="L22" s="118"/>
      <c r="M22" s="118"/>
    </row>
    <row r="23" spans="1:13" ht="12.75" customHeight="1" x14ac:dyDescent="0.2">
      <c r="A23" s="1" t="s">
        <v>185</v>
      </c>
      <c r="B23" s="113">
        <v>-6544</v>
      </c>
      <c r="C23" s="113">
        <v>-5388</v>
      </c>
      <c r="D23" s="114">
        <f>-((((Investment!C4+Investment!C11)+Investment!C18)+Investment!C25)+Investment!C32)</f>
        <v>-4083.4</v>
      </c>
      <c r="E23" s="114">
        <f>-((((Investment!D4+Investment!D11)+Investment!D18)+Investment!D25)+Investment!D32)</f>
        <v>-5522.3215999999993</v>
      </c>
      <c r="F23" s="114">
        <f>-((((Investment!E4+Investment!E11)+Investment!E18)+Investment!E25)+Investment!E32)</f>
        <v>-5258.4359119999999</v>
      </c>
      <c r="G23" s="114">
        <f>-((((Investment!F4+Investment!F11)+Investment!F18)+Investment!F25)+Investment!F32)</f>
        <v>-5074.2692795999992</v>
      </c>
      <c r="H23" s="106">
        <f>-((((Investment!G4+Investment!G11)+Investment!G18)+Investment!G25)+Investment!G32)</f>
        <v>-4829.2163333802</v>
      </c>
      <c r="I23" s="125"/>
      <c r="J23" s="120"/>
      <c r="K23" s="118"/>
      <c r="L23" s="118"/>
      <c r="M23" s="118"/>
    </row>
    <row r="24" spans="1:13" ht="12.75" customHeight="1" x14ac:dyDescent="0.2">
      <c r="A24" s="285" t="s">
        <v>407</v>
      </c>
      <c r="B24" s="55">
        <f t="shared" ref="B24:H24" si="6">SUM(B22:B23)</f>
        <v>29713.64287152639</v>
      </c>
      <c r="C24" s="55">
        <f t="shared" si="6"/>
        <v>29209.635858017486</v>
      </c>
      <c r="D24" s="55">
        <f t="shared" si="6"/>
        <v>6685.650204763584</v>
      </c>
      <c r="E24" s="55">
        <f t="shared" si="6"/>
        <v>19031.470309640037</v>
      </c>
      <c r="F24" s="55">
        <f t="shared" si="6"/>
        <v>17716.068037235564</v>
      </c>
      <c r="G24" s="55">
        <f t="shared" si="6"/>
        <v>16038.678635197632</v>
      </c>
      <c r="H24" s="83">
        <f t="shared" si="6"/>
        <v>13036.187845574766</v>
      </c>
      <c r="I24" s="125"/>
      <c r="J24" s="141"/>
      <c r="K24" s="118"/>
      <c r="L24" s="118"/>
      <c r="M24" s="118"/>
    </row>
    <row r="25" spans="1:13" ht="12.75" customHeight="1" x14ac:dyDescent="0.2">
      <c r="A25" s="50" t="s">
        <v>186</v>
      </c>
      <c r="B25" s="10">
        <v>1450</v>
      </c>
      <c r="C25" s="10">
        <v>496</v>
      </c>
      <c r="D25" s="77">
        <f>C25*(1+Inputs!B16)</f>
        <v>510.88</v>
      </c>
      <c r="E25" s="77">
        <f>D25*(1+Inputs!C16)</f>
        <v>521.09760000000006</v>
      </c>
      <c r="F25" s="77">
        <f>E25*(1+Inputs!D16)</f>
        <v>531.51955200000009</v>
      </c>
      <c r="G25" s="77">
        <f>F25*(1+Inputs!E16)</f>
        <v>542.14994304000015</v>
      </c>
      <c r="H25" s="27">
        <f>G25*(1+Inputs!F16)</f>
        <v>552.99294190080013</v>
      </c>
      <c r="I25" s="125"/>
      <c r="J25" s="120"/>
      <c r="K25" s="118"/>
      <c r="L25" s="118"/>
      <c r="M25" s="118"/>
    </row>
    <row r="26" spans="1:13" ht="12.75" customHeight="1" x14ac:dyDescent="0.2">
      <c r="A26" s="92" t="s">
        <v>187</v>
      </c>
      <c r="B26" s="48">
        <v>108</v>
      </c>
      <c r="C26" s="48">
        <v>57</v>
      </c>
      <c r="D26" s="73">
        <f>C26*(1+Inputs!B17)</f>
        <v>60.42</v>
      </c>
      <c r="E26" s="73">
        <f>D26*(1+Inputs!C17)</f>
        <v>59.211599999999997</v>
      </c>
      <c r="F26" s="73">
        <f>E26*(1+Inputs!D17)</f>
        <v>60.987947999999996</v>
      </c>
      <c r="G26" s="73">
        <f>F26*(1+Inputs!E17)</f>
        <v>62.207706959999996</v>
      </c>
      <c r="H26" s="62">
        <f>G26*(1+Inputs!F17)</f>
        <v>63.451861099199995</v>
      </c>
      <c r="I26" s="125"/>
      <c r="J26" s="118"/>
      <c r="K26" s="118"/>
      <c r="L26" s="118"/>
      <c r="M26" s="118"/>
    </row>
    <row r="27" spans="1:13" ht="12.75" customHeight="1" x14ac:dyDescent="0.2">
      <c r="A27" s="92" t="s">
        <v>114</v>
      </c>
      <c r="B27" s="24">
        <v>-181</v>
      </c>
      <c r="C27" s="24">
        <v>-23</v>
      </c>
      <c r="D27" s="73">
        <f>C27*(1+Inputs!B14)</f>
        <v>-23</v>
      </c>
      <c r="E27" s="73">
        <f>D27*(1+Inputs!C14)</f>
        <v>-23</v>
      </c>
      <c r="F27" s="73">
        <f>E27*(1+Inputs!D14)</f>
        <v>-23</v>
      </c>
      <c r="G27" s="73">
        <f>F27*(1+Inputs!E14)</f>
        <v>-23</v>
      </c>
      <c r="H27" s="62">
        <f>G27*(1+Inputs!F14)</f>
        <v>-23</v>
      </c>
      <c r="I27" s="125"/>
      <c r="J27" s="120"/>
      <c r="K27" s="118"/>
      <c r="L27" s="118"/>
      <c r="M27" s="118"/>
    </row>
    <row r="28" spans="1:13" ht="12.75" customHeight="1" x14ac:dyDescent="0.2">
      <c r="A28" s="89" t="s">
        <v>188</v>
      </c>
      <c r="B28" s="36">
        <v>-160</v>
      </c>
      <c r="C28" s="36">
        <v>-85</v>
      </c>
      <c r="D28" s="89">
        <f>C28*(1+Inputs!B14)</f>
        <v>-85</v>
      </c>
      <c r="E28" s="89">
        <f>D28*(1+Inputs!C14)</f>
        <v>-85</v>
      </c>
      <c r="F28" s="89">
        <f>E28*(1+Inputs!D14)</f>
        <v>-85</v>
      </c>
      <c r="G28" s="89">
        <f>F28*(1+Inputs!E14)</f>
        <v>-85</v>
      </c>
      <c r="H28" s="70">
        <f>G28*(1+Inputs!F14)</f>
        <v>-85</v>
      </c>
      <c r="I28" s="125"/>
      <c r="J28" s="118"/>
      <c r="K28" s="118"/>
      <c r="L28" s="118"/>
      <c r="M28" s="118"/>
    </row>
    <row r="29" spans="1:13" ht="12.75" customHeight="1" x14ac:dyDescent="0.2">
      <c r="A29" s="34" t="s">
        <v>189</v>
      </c>
      <c r="B29" s="55">
        <f>SUM(B24:B27)</f>
        <v>31090.64287152639</v>
      </c>
      <c r="C29" s="55">
        <f>SUM(C24:C27)</f>
        <v>29739.635858017486</v>
      </c>
      <c r="D29" s="55">
        <f>(((D24+D26)+D25)+D27)+D28</f>
        <v>7148.9502047635842</v>
      </c>
      <c r="E29" s="55">
        <f>(((E24+E26)+E25)+E27)+E28</f>
        <v>19503.779509640037</v>
      </c>
      <c r="F29" s="55">
        <f>(((F24+F26)+F25)+F27)+F28</f>
        <v>18200.575537235567</v>
      </c>
      <c r="G29" s="55">
        <f>(((G24+G26)+G25)+G27)+G28</f>
        <v>16535.036285197632</v>
      </c>
      <c r="H29" s="83">
        <f>(((H24+H26)+H25)+H27)+H28</f>
        <v>13544.632648574767</v>
      </c>
      <c r="I29" s="125"/>
      <c r="J29" s="141"/>
      <c r="K29" s="118"/>
      <c r="L29" s="118"/>
      <c r="M29" s="118"/>
    </row>
    <row r="30" spans="1:13" ht="12.75" customHeight="1" x14ac:dyDescent="0.2">
      <c r="A30" s="1" t="s">
        <v>190</v>
      </c>
      <c r="B30" s="113">
        <v>-4119</v>
      </c>
      <c r="C30" s="113">
        <v>-2819</v>
      </c>
      <c r="D30" s="66">
        <f>-D29*Inputs!B26</f>
        <v>-1072.3425307145376</v>
      </c>
      <c r="E30" s="66">
        <f>-E29*Inputs!C26</f>
        <v>-2925.5669264460053</v>
      </c>
      <c r="F30" s="66">
        <f>-F29*Inputs!D26</f>
        <v>-2730.086330585335</v>
      </c>
      <c r="G30" s="66">
        <f>-G29*Inputs!E26</f>
        <v>-2480.2554427796445</v>
      </c>
      <c r="H30" s="102">
        <f>-H29*Inputs!F26</f>
        <v>-2031.6948972862149</v>
      </c>
      <c r="I30" s="125"/>
      <c r="J30" s="120"/>
      <c r="K30" s="118"/>
      <c r="L30" s="118"/>
      <c r="M30" s="118"/>
    </row>
    <row r="31" spans="1:13" ht="12.75" customHeight="1" x14ac:dyDescent="0.2">
      <c r="A31" s="34" t="s">
        <v>191</v>
      </c>
      <c r="B31" s="55">
        <f t="shared" ref="B31:H31" si="7">SUM(B29:B30)</f>
        <v>26971.64287152639</v>
      </c>
      <c r="C31" s="55">
        <f t="shared" si="7"/>
        <v>26920.635858017486</v>
      </c>
      <c r="D31" s="55">
        <f t="shared" si="7"/>
        <v>6076.6076740490462</v>
      </c>
      <c r="E31" s="55">
        <f t="shared" si="7"/>
        <v>16578.212583194032</v>
      </c>
      <c r="F31" s="55">
        <f t="shared" si="7"/>
        <v>15470.489206650233</v>
      </c>
      <c r="G31" s="55">
        <f t="shared" si="7"/>
        <v>14054.780842417988</v>
      </c>
      <c r="H31" s="83">
        <f t="shared" si="7"/>
        <v>11512.937751288551</v>
      </c>
      <c r="I31" s="125"/>
      <c r="J31" s="141"/>
      <c r="K31" s="118"/>
      <c r="L31" s="118"/>
      <c r="M31" s="118"/>
    </row>
    <row r="32" spans="1:13" ht="12.75" customHeight="1" x14ac:dyDescent="0.2">
      <c r="A32" s="127"/>
      <c r="B32" s="142"/>
      <c r="C32" s="142"/>
      <c r="D32" s="127"/>
      <c r="E32" s="127"/>
      <c r="F32" s="127"/>
      <c r="G32" s="127"/>
      <c r="H32" s="127"/>
      <c r="I32" s="118"/>
      <c r="J32" s="118"/>
      <c r="K32" s="118"/>
      <c r="L32" s="118"/>
      <c r="M32" s="118"/>
    </row>
    <row r="33" spans="1:13" ht="12.75" customHeight="1" x14ac:dyDescent="0.2">
      <c r="A33" s="118"/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</row>
    <row r="34" spans="1:13" ht="12.75" customHeight="1" x14ac:dyDescent="0.2">
      <c r="A34" s="118"/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118"/>
    </row>
    <row r="35" spans="1:13" ht="12.75" customHeight="1" x14ac:dyDescent="0.2">
      <c r="A35" s="118"/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</row>
    <row r="36" spans="1:13" ht="12.75" customHeight="1" x14ac:dyDescent="0.2">
      <c r="A36" s="118"/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</row>
    <row r="37" spans="1:13" ht="12.75" customHeight="1" x14ac:dyDescent="0.2">
      <c r="A37" s="118"/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</row>
    <row r="38" spans="1:13" ht="12.75" customHeight="1" x14ac:dyDescent="0.2">
      <c r="A38" s="118"/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</row>
    <row r="39" spans="1:13" ht="12.75" customHeight="1" x14ac:dyDescent="0.2">
      <c r="A39" s="118"/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</row>
    <row r="40" spans="1:13" ht="12.75" customHeight="1" x14ac:dyDescent="0.2">
      <c r="A40" s="118"/>
      <c r="B40" s="118"/>
      <c r="C40" s="118"/>
      <c r="D40" s="118"/>
      <c r="E40" s="118"/>
      <c r="F40" s="118"/>
      <c r="G40" s="118"/>
      <c r="H40" s="118"/>
      <c r="I40" s="118"/>
    </row>
    <row r="41" spans="1:13" ht="12.75" customHeight="1" x14ac:dyDescent="0.2">
      <c r="A41" s="118"/>
      <c r="B41" s="118"/>
      <c r="C41" s="118"/>
      <c r="D41" s="118"/>
      <c r="E41" s="118"/>
      <c r="F41" s="118"/>
      <c r="G41" s="118"/>
      <c r="H41" s="118"/>
      <c r="I41" s="118"/>
    </row>
    <row r="42" spans="1:13" ht="12.75" customHeight="1" x14ac:dyDescent="0.2">
      <c r="A42" s="118"/>
      <c r="B42" s="118"/>
      <c r="C42" s="118"/>
      <c r="D42" s="118"/>
      <c r="E42" s="118"/>
      <c r="F42" s="118"/>
      <c r="G42" s="118"/>
      <c r="H42" s="118"/>
      <c r="I42" s="118"/>
    </row>
    <row r="43" spans="1:13" ht="12.75" customHeight="1" x14ac:dyDescent="0.2">
      <c r="A43" s="118"/>
      <c r="B43" s="118"/>
      <c r="C43" s="118"/>
      <c r="D43" s="118"/>
      <c r="E43" s="118"/>
      <c r="F43" s="118"/>
      <c r="G43" s="118"/>
      <c r="H43" s="118"/>
      <c r="I43" s="118"/>
    </row>
    <row r="44" spans="1:13" ht="12.75" customHeight="1" x14ac:dyDescent="0.2">
      <c r="A44" s="118"/>
      <c r="B44" s="118"/>
      <c r="C44" s="118"/>
      <c r="D44" s="118"/>
      <c r="E44" s="118"/>
      <c r="F44" s="118"/>
      <c r="G44" s="118"/>
      <c r="H44" s="118"/>
      <c r="I44" s="118"/>
    </row>
    <row r="45" spans="1:13" ht="12.75" customHeight="1" x14ac:dyDescent="0.2">
      <c r="A45" s="118"/>
      <c r="B45" s="118"/>
      <c r="C45" s="118"/>
      <c r="D45" s="118"/>
      <c r="E45" s="118"/>
      <c r="F45" s="118"/>
      <c r="G45" s="118"/>
      <c r="H45" s="118"/>
      <c r="I45" s="118"/>
    </row>
    <row r="46" spans="1:13" ht="12.75" customHeight="1" x14ac:dyDescent="0.2">
      <c r="A46" s="118"/>
      <c r="B46" s="118"/>
      <c r="C46" s="118"/>
      <c r="D46" s="118"/>
      <c r="E46" s="118"/>
      <c r="F46" s="118"/>
      <c r="G46" s="118"/>
      <c r="H46" s="118"/>
      <c r="I46" s="118"/>
    </row>
    <row r="47" spans="1:13" ht="12.75" customHeight="1" x14ac:dyDescent="0.2">
      <c r="A47" s="118"/>
      <c r="B47" s="118"/>
      <c r="C47" s="118"/>
      <c r="D47" s="118"/>
      <c r="E47" s="118"/>
      <c r="F47" s="118"/>
      <c r="G47" s="118"/>
      <c r="H47" s="118"/>
      <c r="I47" s="118"/>
    </row>
    <row r="48" spans="1:13" ht="12.75" customHeight="1" x14ac:dyDescent="0.2">
      <c r="A48" s="118"/>
      <c r="B48" s="118"/>
      <c r="C48" s="118"/>
      <c r="D48" s="118"/>
      <c r="E48" s="118"/>
      <c r="F48" s="118"/>
      <c r="G48" s="118"/>
      <c r="H48" s="118"/>
      <c r="I48" s="118"/>
    </row>
    <row r="49" spans="1:9" ht="12.75" customHeight="1" x14ac:dyDescent="0.2">
      <c r="A49" s="118"/>
      <c r="B49" s="118"/>
      <c r="C49" s="118"/>
      <c r="D49" s="118"/>
      <c r="E49" s="118"/>
      <c r="F49" s="118"/>
      <c r="G49" s="118"/>
      <c r="H49" s="118"/>
      <c r="I49" s="118"/>
    </row>
    <row r="50" spans="1:9" ht="12.75" customHeight="1" x14ac:dyDescent="0.2">
      <c r="A50" s="118"/>
      <c r="B50" s="118"/>
      <c r="C50" s="118"/>
      <c r="D50" s="118"/>
      <c r="E50" s="118"/>
      <c r="F50" s="118"/>
      <c r="G50" s="118"/>
      <c r="H50" s="118"/>
      <c r="I50" s="118"/>
    </row>
    <row r="51" spans="1:9" ht="12.75" customHeight="1" x14ac:dyDescent="0.2">
      <c r="A51" s="118"/>
      <c r="B51" s="118"/>
      <c r="C51" s="118"/>
      <c r="D51" s="118"/>
      <c r="E51" s="118"/>
      <c r="F51" s="118"/>
      <c r="G51" s="118"/>
      <c r="H51" s="118"/>
      <c r="I51" s="118"/>
    </row>
    <row r="52" spans="1:9" ht="12.75" customHeight="1" x14ac:dyDescent="0.2">
      <c r="A52" s="118"/>
      <c r="B52" s="118"/>
      <c r="C52" s="118"/>
      <c r="D52" s="118"/>
      <c r="E52" s="118"/>
      <c r="F52" s="118"/>
      <c r="G52" s="118"/>
      <c r="H52" s="118"/>
      <c r="I52" s="118"/>
    </row>
    <row r="53" spans="1:9" ht="12.75" customHeight="1" x14ac:dyDescent="0.2">
      <c r="A53" s="118"/>
      <c r="B53" s="118"/>
      <c r="C53" s="118"/>
      <c r="D53" s="118"/>
      <c r="E53" s="118"/>
      <c r="F53" s="118"/>
      <c r="G53" s="118"/>
      <c r="H53" s="118"/>
      <c r="I53" s="118"/>
    </row>
    <row r="54" spans="1:9" ht="12.75" customHeight="1" x14ac:dyDescent="0.2">
      <c r="A54" s="118"/>
      <c r="B54" s="118"/>
      <c r="C54" s="118"/>
      <c r="D54" s="118"/>
      <c r="E54" s="118"/>
      <c r="F54" s="118"/>
      <c r="G54" s="118"/>
      <c r="H54" s="118"/>
      <c r="I54" s="118"/>
    </row>
    <row r="55" spans="1:9" ht="12.75" customHeight="1" x14ac:dyDescent="0.2">
      <c r="A55" s="118"/>
      <c r="B55" s="118"/>
      <c r="C55" s="118"/>
      <c r="D55" s="118"/>
      <c r="E55" s="118"/>
      <c r="F55" s="118"/>
      <c r="G55" s="118"/>
      <c r="H55" s="118"/>
      <c r="I55" s="118"/>
    </row>
    <row r="56" spans="1:9" ht="12.75" customHeight="1" x14ac:dyDescent="0.2">
      <c r="A56" s="118"/>
      <c r="B56" s="118"/>
      <c r="C56" s="118"/>
      <c r="D56" s="118"/>
      <c r="E56" s="118"/>
      <c r="F56" s="118"/>
      <c r="G56" s="118"/>
      <c r="H56" s="118"/>
      <c r="I56" s="118"/>
    </row>
    <row r="57" spans="1:9" ht="12.75" customHeight="1" x14ac:dyDescent="0.2">
      <c r="A57" s="118"/>
      <c r="B57" s="118"/>
      <c r="C57" s="118"/>
      <c r="D57" s="118"/>
      <c r="E57" s="118"/>
      <c r="F57" s="118"/>
      <c r="G57" s="118"/>
      <c r="H57" s="118"/>
      <c r="I57" s="118"/>
    </row>
    <row r="58" spans="1:9" ht="12.75" customHeight="1" x14ac:dyDescent="0.2">
      <c r="A58" s="118"/>
      <c r="B58" s="118"/>
      <c r="C58" s="118"/>
      <c r="D58" s="118"/>
      <c r="E58" s="118"/>
      <c r="F58" s="118"/>
      <c r="G58" s="118"/>
      <c r="H58" s="118"/>
      <c r="I58" s="118"/>
    </row>
    <row r="59" spans="1:9" ht="12.75" customHeight="1" x14ac:dyDescent="0.2">
      <c r="A59" s="118"/>
      <c r="B59" s="118"/>
      <c r="C59" s="118"/>
      <c r="D59" s="118"/>
      <c r="E59" s="118"/>
      <c r="F59" s="118"/>
      <c r="G59" s="118"/>
      <c r="H59" s="118"/>
      <c r="I59" s="118"/>
    </row>
    <row r="60" spans="1:9" ht="12.75" customHeight="1" x14ac:dyDescent="0.2">
      <c r="A60" s="118"/>
      <c r="B60" s="118"/>
      <c r="C60" s="118"/>
      <c r="D60" s="118"/>
      <c r="E60" s="118"/>
      <c r="F60" s="118"/>
      <c r="G60" s="118"/>
      <c r="H60" s="118"/>
      <c r="I60" s="118"/>
    </row>
    <row r="61" spans="1:9" ht="12.75" customHeight="1" x14ac:dyDescent="0.2">
      <c r="A61" s="118"/>
      <c r="B61" s="118"/>
      <c r="C61" s="118"/>
      <c r="D61" s="118"/>
      <c r="E61" s="118"/>
      <c r="F61" s="118"/>
      <c r="G61" s="118"/>
      <c r="H61" s="118"/>
      <c r="I61" s="118"/>
    </row>
    <row r="62" spans="1:9" ht="12.75" customHeight="1" x14ac:dyDescent="0.2">
      <c r="A62" s="118"/>
      <c r="B62" s="118"/>
      <c r="C62" s="118"/>
      <c r="D62" s="118"/>
      <c r="E62" s="118"/>
      <c r="F62" s="118"/>
      <c r="G62" s="118"/>
      <c r="H62" s="118"/>
      <c r="I62" s="118"/>
    </row>
    <row r="63" spans="1:9" ht="12.75" customHeight="1" x14ac:dyDescent="0.2">
      <c r="A63" s="118"/>
      <c r="B63" s="118"/>
      <c r="C63" s="118"/>
      <c r="D63" s="118"/>
      <c r="E63" s="118"/>
      <c r="F63" s="118"/>
      <c r="G63" s="118"/>
      <c r="H63" s="118"/>
      <c r="I63" s="118"/>
    </row>
    <row r="64" spans="1:9" ht="12.75" customHeight="1" x14ac:dyDescent="0.2">
      <c r="A64" s="118"/>
      <c r="B64" s="118"/>
      <c r="C64" s="118"/>
      <c r="D64" s="118"/>
      <c r="E64" s="118"/>
      <c r="F64" s="118"/>
      <c r="G64" s="118"/>
      <c r="H64" s="118"/>
      <c r="I64" s="118"/>
    </row>
    <row r="65" spans="1:9" ht="12.75" customHeight="1" x14ac:dyDescent="0.2">
      <c r="A65" s="118"/>
      <c r="B65" s="118"/>
      <c r="C65" s="118"/>
      <c r="D65" s="118"/>
      <c r="E65" s="118"/>
      <c r="F65" s="118"/>
      <c r="G65" s="118"/>
      <c r="H65" s="118"/>
      <c r="I65" s="118"/>
    </row>
    <row r="66" spans="1:9" ht="12.75" customHeight="1" x14ac:dyDescent="0.2">
      <c r="A66" s="118"/>
      <c r="B66" s="118"/>
      <c r="C66" s="118"/>
      <c r="D66" s="118"/>
      <c r="E66" s="118"/>
      <c r="F66" s="118"/>
      <c r="G66" s="118"/>
      <c r="H66" s="118"/>
      <c r="I66" s="118"/>
    </row>
    <row r="67" spans="1:9" ht="12.75" customHeight="1" x14ac:dyDescent="0.2">
      <c r="A67" s="118"/>
      <c r="B67" s="118"/>
      <c r="C67" s="118"/>
      <c r="D67" s="118"/>
      <c r="E67" s="118"/>
      <c r="F67" s="118"/>
      <c r="G67" s="118"/>
      <c r="H67" s="118"/>
      <c r="I67" s="118"/>
    </row>
    <row r="68" spans="1:9" ht="12.75" customHeight="1" x14ac:dyDescent="0.2">
      <c r="A68" s="118"/>
      <c r="B68" s="118"/>
      <c r="C68" s="118"/>
      <c r="D68" s="118"/>
      <c r="E68" s="118"/>
      <c r="F68" s="118"/>
      <c r="G68" s="118"/>
      <c r="H68" s="118"/>
      <c r="I68" s="118"/>
    </row>
    <row r="69" spans="1:9" ht="12.75" customHeight="1" x14ac:dyDescent="0.2">
      <c r="A69" s="118"/>
      <c r="B69" s="118"/>
      <c r="C69" s="118"/>
      <c r="D69" s="118"/>
      <c r="E69" s="118"/>
      <c r="F69" s="118"/>
      <c r="G69" s="118"/>
      <c r="H69" s="118"/>
      <c r="I69" s="118"/>
    </row>
    <row r="70" spans="1:9" ht="12.75" customHeight="1" x14ac:dyDescent="0.2">
      <c r="A70" s="118"/>
      <c r="B70" s="118"/>
      <c r="C70" s="118"/>
      <c r="D70" s="118"/>
      <c r="E70" s="118"/>
      <c r="F70" s="118"/>
      <c r="G70" s="118"/>
      <c r="H70" s="118"/>
      <c r="I70" s="118"/>
    </row>
    <row r="71" spans="1:9" ht="12.75" customHeight="1" x14ac:dyDescent="0.2">
      <c r="A71" s="118"/>
      <c r="B71" s="118"/>
      <c r="C71" s="118"/>
      <c r="D71" s="118"/>
      <c r="E71" s="118"/>
      <c r="F71" s="118"/>
      <c r="G71" s="118"/>
      <c r="H71" s="118"/>
      <c r="I71" s="118"/>
    </row>
    <row r="72" spans="1:9" ht="12.75" customHeight="1" x14ac:dyDescent="0.2">
      <c r="A72" s="118"/>
      <c r="B72" s="118"/>
      <c r="C72" s="118"/>
      <c r="D72" s="118"/>
      <c r="E72" s="118"/>
      <c r="F72" s="118"/>
      <c r="G72" s="118"/>
      <c r="H72" s="118"/>
      <c r="I72" s="118"/>
    </row>
    <row r="73" spans="1:9" ht="12.75" customHeight="1" x14ac:dyDescent="0.2">
      <c r="A73" s="118"/>
      <c r="B73" s="118"/>
      <c r="C73" s="118"/>
      <c r="D73" s="118"/>
      <c r="E73" s="118"/>
      <c r="F73" s="118"/>
      <c r="G73" s="118"/>
      <c r="H73" s="118"/>
      <c r="I73" s="118"/>
    </row>
    <row r="74" spans="1:9" ht="12.75" customHeight="1" x14ac:dyDescent="0.2">
      <c r="A74" s="118"/>
      <c r="B74" s="118"/>
      <c r="C74" s="118"/>
      <c r="D74" s="118"/>
      <c r="E74" s="118"/>
      <c r="F74" s="118"/>
      <c r="G74" s="118"/>
      <c r="H74" s="118"/>
      <c r="I74" s="118"/>
    </row>
    <row r="75" spans="1:9" ht="12.75" customHeight="1" x14ac:dyDescent="0.2">
      <c r="A75" s="118"/>
      <c r="B75" s="118"/>
      <c r="C75" s="118"/>
      <c r="D75" s="118"/>
      <c r="E75" s="118"/>
      <c r="F75" s="118"/>
      <c r="G75" s="118"/>
      <c r="H75" s="118"/>
      <c r="I75" s="118"/>
    </row>
    <row r="76" spans="1:9" ht="12.75" customHeight="1" x14ac:dyDescent="0.2">
      <c r="A76" s="118"/>
      <c r="B76" s="118"/>
      <c r="C76" s="118"/>
      <c r="D76" s="118"/>
      <c r="E76" s="118"/>
      <c r="F76" s="118"/>
      <c r="G76" s="118"/>
      <c r="H76" s="118"/>
      <c r="I76" s="118"/>
    </row>
    <row r="77" spans="1:9" ht="12.75" customHeight="1" x14ac:dyDescent="0.2">
      <c r="A77" s="118"/>
      <c r="B77" s="118"/>
      <c r="C77" s="118"/>
      <c r="D77" s="118"/>
      <c r="E77" s="118"/>
      <c r="F77" s="118"/>
      <c r="G77" s="118"/>
      <c r="H77" s="118"/>
      <c r="I77" s="118"/>
    </row>
    <row r="78" spans="1:9" ht="12.75" customHeight="1" x14ac:dyDescent="0.2">
      <c r="A78" s="118"/>
      <c r="B78" s="118"/>
      <c r="C78" s="118"/>
      <c r="D78" s="118"/>
      <c r="E78" s="118"/>
      <c r="F78" s="118"/>
      <c r="G78" s="118"/>
      <c r="H78" s="118"/>
      <c r="I78" s="118"/>
    </row>
    <row r="79" spans="1:9" ht="12.75" customHeight="1" x14ac:dyDescent="0.2">
      <c r="A79" s="118"/>
      <c r="B79" s="118"/>
      <c r="C79" s="118"/>
      <c r="D79" s="118"/>
      <c r="E79" s="118"/>
      <c r="F79" s="118"/>
      <c r="G79" s="118"/>
      <c r="H79" s="118"/>
      <c r="I79" s="118"/>
    </row>
    <row r="80" spans="1:9" ht="12.75" customHeight="1" x14ac:dyDescent="0.2">
      <c r="A80" s="118"/>
      <c r="B80" s="118"/>
      <c r="C80" s="118"/>
      <c r="D80" s="118"/>
      <c r="E80" s="118"/>
      <c r="F80" s="118"/>
      <c r="G80" s="118"/>
      <c r="H80" s="118"/>
      <c r="I80" s="118"/>
    </row>
    <row r="81" spans="1:9" ht="12.75" customHeight="1" x14ac:dyDescent="0.2">
      <c r="A81" s="118"/>
      <c r="B81" s="118"/>
      <c r="C81" s="118"/>
      <c r="D81" s="118"/>
      <c r="E81" s="118"/>
      <c r="F81" s="118"/>
      <c r="G81" s="118"/>
      <c r="H81" s="118"/>
      <c r="I81" s="118"/>
    </row>
    <row r="82" spans="1:9" ht="12.75" customHeight="1" x14ac:dyDescent="0.2">
      <c r="A82" s="118"/>
      <c r="B82" s="118"/>
      <c r="C82" s="118"/>
      <c r="D82" s="118"/>
      <c r="E82" s="118"/>
      <c r="F82" s="118"/>
      <c r="G82" s="118"/>
      <c r="H82" s="118"/>
      <c r="I82" s="118"/>
    </row>
    <row r="83" spans="1:9" ht="12.75" customHeight="1" x14ac:dyDescent="0.2">
      <c r="A83" s="118"/>
      <c r="B83" s="118"/>
      <c r="C83" s="118"/>
      <c r="D83" s="118"/>
      <c r="E83" s="118"/>
      <c r="F83" s="118"/>
      <c r="G83" s="118"/>
      <c r="H83" s="118"/>
      <c r="I83" s="118"/>
    </row>
    <row r="84" spans="1:9" ht="12.75" customHeight="1" x14ac:dyDescent="0.2">
      <c r="A84" s="118"/>
      <c r="B84" s="118"/>
      <c r="C84" s="118"/>
      <c r="D84" s="118"/>
      <c r="E84" s="118"/>
      <c r="F84" s="118"/>
      <c r="G84" s="118"/>
      <c r="H84" s="118"/>
      <c r="I84" s="118"/>
    </row>
    <row r="85" spans="1:9" ht="12.75" customHeight="1" x14ac:dyDescent="0.2">
      <c r="A85" s="118"/>
      <c r="B85" s="118"/>
      <c r="C85" s="118"/>
      <c r="D85" s="118"/>
      <c r="E85" s="118"/>
      <c r="F85" s="118"/>
      <c r="G85" s="118"/>
      <c r="H85" s="118"/>
      <c r="I85" s="118"/>
    </row>
    <row r="86" spans="1:9" ht="12.75" customHeight="1" x14ac:dyDescent="0.2">
      <c r="A86" s="118"/>
      <c r="B86" s="118"/>
      <c r="C86" s="118"/>
      <c r="D86" s="118"/>
      <c r="E86" s="118"/>
      <c r="F86" s="118"/>
      <c r="G86" s="118"/>
      <c r="H86" s="118"/>
      <c r="I86" s="118"/>
    </row>
    <row r="87" spans="1:9" ht="12.75" customHeight="1" x14ac:dyDescent="0.2">
      <c r="A87" s="118"/>
      <c r="B87" s="118"/>
      <c r="C87" s="118"/>
      <c r="D87" s="118"/>
      <c r="E87" s="118"/>
      <c r="F87" s="118"/>
      <c r="G87" s="118"/>
      <c r="H87" s="118"/>
      <c r="I87" s="118"/>
    </row>
    <row r="88" spans="1:9" ht="12.75" customHeight="1" x14ac:dyDescent="0.2">
      <c r="A88" s="118"/>
      <c r="B88" s="118"/>
      <c r="C88" s="118"/>
      <c r="D88" s="118"/>
      <c r="E88" s="118"/>
      <c r="F88" s="118"/>
      <c r="G88" s="118"/>
      <c r="H88" s="118"/>
      <c r="I88" s="118"/>
    </row>
    <row r="89" spans="1:9" ht="12.75" customHeight="1" x14ac:dyDescent="0.2">
      <c r="A89" s="118"/>
      <c r="B89" s="118"/>
      <c r="C89" s="118"/>
      <c r="D89" s="118"/>
      <c r="E89" s="118"/>
      <c r="F89" s="118"/>
      <c r="G89" s="118"/>
      <c r="H89" s="118"/>
      <c r="I89" s="118"/>
    </row>
    <row r="90" spans="1:9" ht="12.75" customHeight="1" x14ac:dyDescent="0.2">
      <c r="A90" s="118"/>
      <c r="B90" s="118"/>
      <c r="C90" s="118"/>
      <c r="D90" s="118"/>
      <c r="E90" s="118"/>
      <c r="F90" s="118"/>
      <c r="G90" s="118"/>
      <c r="H90" s="118"/>
      <c r="I90" s="118"/>
    </row>
    <row r="91" spans="1:9" ht="12.75" customHeight="1" x14ac:dyDescent="0.2">
      <c r="A91" s="118"/>
      <c r="B91" s="118"/>
      <c r="C91" s="118"/>
      <c r="D91" s="118"/>
      <c r="E91" s="118"/>
      <c r="F91" s="118"/>
      <c r="G91" s="118"/>
      <c r="H91" s="118"/>
      <c r="I91" s="118"/>
    </row>
    <row r="92" spans="1:9" ht="12.75" customHeight="1" x14ac:dyDescent="0.2">
      <c r="A92" s="118"/>
      <c r="B92" s="118"/>
      <c r="C92" s="118"/>
      <c r="D92" s="118"/>
      <c r="E92" s="118"/>
      <c r="F92" s="118"/>
      <c r="G92" s="118"/>
      <c r="H92" s="118"/>
      <c r="I92" s="118"/>
    </row>
    <row r="93" spans="1:9" ht="12.75" customHeight="1" x14ac:dyDescent="0.2">
      <c r="A93" s="118"/>
      <c r="B93" s="118"/>
      <c r="C93" s="118"/>
      <c r="D93" s="118"/>
      <c r="E93" s="118"/>
      <c r="F93" s="118"/>
      <c r="G93" s="118"/>
      <c r="H93" s="118"/>
      <c r="I93" s="118"/>
    </row>
    <row r="94" spans="1:9" ht="12.75" customHeight="1" x14ac:dyDescent="0.2">
      <c r="A94" s="118"/>
      <c r="B94" s="118"/>
      <c r="C94" s="118"/>
      <c r="D94" s="118"/>
      <c r="E94" s="118"/>
      <c r="F94" s="118"/>
      <c r="G94" s="118"/>
      <c r="H94" s="118"/>
      <c r="I94" s="118"/>
    </row>
    <row r="95" spans="1:9" ht="12.75" customHeight="1" x14ac:dyDescent="0.2">
      <c r="A95" s="118"/>
      <c r="B95" s="118"/>
      <c r="C95" s="118"/>
      <c r="D95" s="118"/>
      <c r="E95" s="118"/>
      <c r="F95" s="118"/>
      <c r="G95" s="118"/>
      <c r="H95" s="118"/>
      <c r="I95" s="118"/>
    </row>
    <row r="96" spans="1:9" ht="12.75" customHeight="1" x14ac:dyDescent="0.2">
      <c r="A96" s="118"/>
      <c r="B96" s="118"/>
      <c r="C96" s="118"/>
      <c r="D96" s="118"/>
      <c r="E96" s="118"/>
      <c r="F96" s="118"/>
      <c r="G96" s="118"/>
      <c r="H96" s="118"/>
      <c r="I96" s="118"/>
    </row>
    <row r="97" spans="1:9" ht="12.75" customHeight="1" x14ac:dyDescent="0.2">
      <c r="A97" s="118"/>
      <c r="B97" s="118"/>
      <c r="C97" s="118"/>
      <c r="D97" s="118"/>
      <c r="E97" s="118"/>
      <c r="F97" s="118"/>
      <c r="G97" s="118"/>
      <c r="H97" s="118"/>
      <c r="I97" s="118"/>
    </row>
    <row r="98" spans="1:9" ht="12.75" customHeight="1" x14ac:dyDescent="0.2">
      <c r="A98" s="118"/>
      <c r="B98" s="118"/>
      <c r="C98" s="118"/>
      <c r="D98" s="118"/>
      <c r="E98" s="118"/>
      <c r="F98" s="118"/>
      <c r="G98" s="118"/>
      <c r="H98" s="118"/>
      <c r="I98" s="118"/>
    </row>
    <row r="99" spans="1:9" ht="12.75" customHeight="1" x14ac:dyDescent="0.2">
      <c r="A99" s="118"/>
      <c r="B99" s="118"/>
      <c r="C99" s="118"/>
      <c r="D99" s="118"/>
      <c r="E99" s="118"/>
      <c r="F99" s="118"/>
      <c r="G99" s="118"/>
      <c r="H99" s="118"/>
      <c r="I99" s="118"/>
    </row>
    <row r="100" spans="1:9" ht="12.75" customHeight="1" x14ac:dyDescent="0.2">
      <c r="A100" s="118"/>
      <c r="B100" s="118"/>
      <c r="C100" s="118"/>
      <c r="D100" s="118"/>
      <c r="E100" s="118"/>
      <c r="F100" s="118"/>
      <c r="G100" s="118"/>
      <c r="H100" s="118"/>
      <c r="I100" s="118"/>
    </row>
    <row r="101" spans="1:9" ht="12.75" customHeight="1" x14ac:dyDescent="0.2">
      <c r="A101" s="118"/>
      <c r="B101" s="118"/>
      <c r="C101" s="118"/>
      <c r="D101" s="118"/>
      <c r="E101" s="118"/>
      <c r="F101" s="118"/>
      <c r="G101" s="118"/>
      <c r="H101" s="118"/>
      <c r="I101" s="118"/>
    </row>
    <row r="102" spans="1:9" ht="12.75" customHeight="1" x14ac:dyDescent="0.2">
      <c r="A102" s="118"/>
      <c r="B102" s="118"/>
      <c r="C102" s="118"/>
      <c r="D102" s="118"/>
      <c r="E102" s="118"/>
      <c r="F102" s="118"/>
      <c r="G102" s="118"/>
      <c r="H102" s="118"/>
      <c r="I102" s="118"/>
    </row>
    <row r="103" spans="1:9" ht="12.75" customHeight="1" x14ac:dyDescent="0.2">
      <c r="A103" s="118"/>
      <c r="B103" s="118"/>
      <c r="C103" s="118"/>
      <c r="D103" s="118"/>
      <c r="E103" s="118"/>
      <c r="F103" s="118"/>
      <c r="G103" s="118"/>
      <c r="H103" s="118"/>
      <c r="I103" s="118"/>
    </row>
    <row r="104" spans="1:9" ht="12.75" customHeight="1" x14ac:dyDescent="0.2">
      <c r="A104" s="118"/>
      <c r="B104" s="118"/>
      <c r="C104" s="118"/>
      <c r="D104" s="118"/>
      <c r="E104" s="118"/>
      <c r="F104" s="118"/>
      <c r="G104" s="118"/>
      <c r="H104" s="118"/>
      <c r="I104" s="118"/>
    </row>
    <row r="105" spans="1:9" ht="12.75" customHeight="1" x14ac:dyDescent="0.2">
      <c r="A105" s="118"/>
      <c r="B105" s="118"/>
      <c r="C105" s="118"/>
      <c r="D105" s="118"/>
      <c r="E105" s="118"/>
      <c r="F105" s="118"/>
      <c r="G105" s="118"/>
      <c r="H105" s="118"/>
      <c r="I105" s="118"/>
    </row>
    <row r="106" spans="1:9" ht="12.75" customHeight="1" x14ac:dyDescent="0.2">
      <c r="A106" s="118"/>
      <c r="B106" s="118"/>
      <c r="C106" s="118"/>
      <c r="D106" s="118"/>
      <c r="E106" s="118"/>
      <c r="F106" s="118"/>
      <c r="G106" s="118"/>
      <c r="H106" s="118"/>
      <c r="I106" s="118"/>
    </row>
    <row r="107" spans="1:9" ht="12.75" customHeight="1" x14ac:dyDescent="0.2">
      <c r="A107" s="118"/>
      <c r="B107" s="118"/>
      <c r="C107" s="118"/>
      <c r="D107" s="118"/>
      <c r="E107" s="118"/>
      <c r="F107" s="118"/>
      <c r="G107" s="118"/>
      <c r="H107" s="118"/>
      <c r="I107" s="118"/>
    </row>
    <row r="108" spans="1:9" ht="12.75" customHeight="1" x14ac:dyDescent="0.2">
      <c r="A108" s="118"/>
      <c r="B108" s="118"/>
      <c r="C108" s="118"/>
      <c r="D108" s="118"/>
      <c r="E108" s="118"/>
      <c r="F108" s="118"/>
      <c r="G108" s="118"/>
      <c r="H108" s="118"/>
      <c r="I108" s="118"/>
    </row>
    <row r="109" spans="1:9" ht="12.75" customHeight="1" x14ac:dyDescent="0.2">
      <c r="A109" s="118"/>
      <c r="B109" s="118"/>
      <c r="C109" s="118"/>
      <c r="D109" s="118"/>
      <c r="E109" s="118"/>
      <c r="F109" s="118"/>
      <c r="G109" s="118"/>
      <c r="H109" s="118"/>
      <c r="I109" s="118"/>
    </row>
    <row r="110" spans="1:9" ht="12.75" customHeight="1" x14ac:dyDescent="0.2">
      <c r="A110" s="118"/>
      <c r="B110" s="118"/>
      <c r="C110" s="118"/>
      <c r="D110" s="118"/>
      <c r="E110" s="118"/>
      <c r="F110" s="118"/>
      <c r="G110" s="118"/>
      <c r="H110" s="118"/>
      <c r="I110" s="118"/>
    </row>
    <row r="111" spans="1:9" ht="12.75" customHeight="1" x14ac:dyDescent="0.2">
      <c r="A111" s="118"/>
      <c r="B111" s="118"/>
      <c r="C111" s="118"/>
      <c r="D111" s="118"/>
      <c r="E111" s="118"/>
      <c r="F111" s="118"/>
      <c r="G111" s="118"/>
      <c r="H111" s="118"/>
      <c r="I111" s="118"/>
    </row>
    <row r="112" spans="1:9" ht="12.75" customHeight="1" x14ac:dyDescent="0.2">
      <c r="A112" s="118"/>
      <c r="B112" s="118"/>
      <c r="C112" s="118"/>
      <c r="D112" s="118"/>
      <c r="E112" s="118"/>
      <c r="F112" s="118"/>
      <c r="G112" s="118"/>
      <c r="H112" s="118"/>
      <c r="I112" s="118"/>
    </row>
    <row r="113" spans="1:9" ht="12.75" customHeight="1" x14ac:dyDescent="0.2">
      <c r="A113" s="118"/>
      <c r="B113" s="118"/>
      <c r="C113" s="118"/>
      <c r="D113" s="118"/>
      <c r="E113" s="118"/>
      <c r="F113" s="118"/>
      <c r="G113" s="118"/>
      <c r="H113" s="118"/>
      <c r="I113" s="118"/>
    </row>
    <row r="114" spans="1:9" ht="12.75" customHeight="1" x14ac:dyDescent="0.2">
      <c r="A114" s="118"/>
      <c r="B114" s="118"/>
      <c r="C114" s="118"/>
      <c r="D114" s="118"/>
      <c r="E114" s="118"/>
      <c r="F114" s="118"/>
      <c r="G114" s="118"/>
      <c r="H114" s="118"/>
      <c r="I114" s="118"/>
    </row>
    <row r="115" spans="1:9" ht="12.75" customHeight="1" x14ac:dyDescent="0.2">
      <c r="A115" s="118"/>
      <c r="B115" s="118"/>
      <c r="C115" s="118"/>
      <c r="D115" s="118"/>
      <c r="E115" s="118"/>
      <c r="F115" s="118"/>
      <c r="G115" s="118"/>
      <c r="H115" s="118"/>
      <c r="I115" s="118"/>
    </row>
    <row r="116" spans="1:9" ht="12.75" customHeight="1" x14ac:dyDescent="0.2">
      <c r="A116" s="118"/>
      <c r="B116" s="118"/>
      <c r="C116" s="118"/>
      <c r="D116" s="118"/>
      <c r="E116" s="118"/>
      <c r="F116" s="118"/>
      <c r="G116" s="118"/>
      <c r="H116" s="118"/>
      <c r="I116" s="118"/>
    </row>
    <row r="117" spans="1:9" ht="12.75" customHeight="1" x14ac:dyDescent="0.2">
      <c r="A117" s="118"/>
      <c r="B117" s="118"/>
      <c r="C117" s="118"/>
      <c r="D117" s="118"/>
      <c r="E117" s="118"/>
      <c r="F117" s="118"/>
      <c r="G117" s="118"/>
      <c r="H117" s="118"/>
      <c r="I117" s="118"/>
    </row>
    <row r="118" spans="1:9" ht="12.75" customHeight="1" x14ac:dyDescent="0.2">
      <c r="A118" s="118"/>
      <c r="B118" s="118"/>
      <c r="C118" s="118"/>
      <c r="D118" s="118"/>
      <c r="E118" s="118"/>
      <c r="F118" s="118"/>
      <c r="G118" s="118"/>
      <c r="H118" s="118"/>
      <c r="I118" s="118"/>
    </row>
    <row r="119" spans="1:9" ht="12.75" customHeight="1" x14ac:dyDescent="0.2">
      <c r="A119" s="118"/>
      <c r="B119" s="118"/>
      <c r="C119" s="118"/>
      <c r="D119" s="118"/>
      <c r="E119" s="118"/>
      <c r="F119" s="118"/>
      <c r="G119" s="118"/>
      <c r="H119" s="118"/>
      <c r="I119" s="118"/>
    </row>
    <row r="120" spans="1:9" ht="12.75" customHeight="1" x14ac:dyDescent="0.2">
      <c r="A120" s="118"/>
      <c r="B120" s="118"/>
      <c r="C120" s="118"/>
      <c r="D120" s="118"/>
      <c r="E120" s="118"/>
      <c r="F120" s="118"/>
      <c r="G120" s="118"/>
      <c r="H120" s="118"/>
      <c r="I120" s="118"/>
    </row>
    <row r="121" spans="1:9" ht="12.75" customHeight="1" x14ac:dyDescent="0.2">
      <c r="A121" s="118"/>
      <c r="B121" s="118"/>
      <c r="C121" s="118"/>
      <c r="D121" s="118"/>
      <c r="E121" s="118"/>
      <c r="F121" s="118"/>
      <c r="G121" s="118"/>
      <c r="H121" s="118"/>
      <c r="I121" s="118"/>
    </row>
    <row r="122" spans="1:9" ht="12.75" customHeight="1" x14ac:dyDescent="0.2">
      <c r="A122" s="118"/>
      <c r="B122" s="118"/>
      <c r="C122" s="118"/>
      <c r="D122" s="118"/>
      <c r="E122" s="118"/>
      <c r="F122" s="118"/>
      <c r="G122" s="118"/>
      <c r="H122" s="118"/>
      <c r="I122" s="118"/>
    </row>
    <row r="123" spans="1:9" ht="12.75" customHeight="1" x14ac:dyDescent="0.2">
      <c r="A123" s="118"/>
      <c r="B123" s="118"/>
      <c r="C123" s="118"/>
      <c r="D123" s="118"/>
      <c r="E123" s="118"/>
      <c r="F123" s="118"/>
      <c r="G123" s="118"/>
      <c r="H123" s="118"/>
      <c r="I123" s="118"/>
    </row>
    <row r="124" spans="1:9" ht="12.75" customHeight="1" x14ac:dyDescent="0.2">
      <c r="A124" s="118"/>
      <c r="B124" s="118"/>
      <c r="C124" s="118"/>
      <c r="D124" s="118"/>
      <c r="E124" s="118"/>
      <c r="F124" s="118"/>
      <c r="G124" s="118"/>
      <c r="H124" s="118"/>
      <c r="I124" s="118"/>
    </row>
    <row r="125" spans="1:9" ht="12.75" customHeight="1" x14ac:dyDescent="0.2">
      <c r="A125" s="118"/>
      <c r="B125" s="118"/>
      <c r="C125" s="118"/>
      <c r="D125" s="118"/>
      <c r="E125" s="118"/>
      <c r="F125" s="118"/>
      <c r="G125" s="118"/>
      <c r="H125" s="118"/>
      <c r="I125" s="118"/>
    </row>
    <row r="126" spans="1:9" ht="12.75" customHeight="1" x14ac:dyDescent="0.2">
      <c r="A126" s="118"/>
      <c r="B126" s="118"/>
      <c r="C126" s="118"/>
      <c r="D126" s="118"/>
      <c r="E126" s="118"/>
      <c r="F126" s="118"/>
      <c r="G126" s="118"/>
      <c r="H126" s="118"/>
      <c r="I126" s="118"/>
    </row>
    <row r="127" spans="1:9" ht="12.75" customHeight="1" x14ac:dyDescent="0.2">
      <c r="A127" s="118"/>
      <c r="B127" s="118"/>
      <c r="C127" s="118"/>
      <c r="D127" s="118"/>
      <c r="E127" s="118"/>
      <c r="F127" s="118"/>
      <c r="G127" s="118"/>
      <c r="H127" s="118"/>
      <c r="I127" s="118"/>
    </row>
    <row r="128" spans="1:9" ht="12.75" customHeight="1" x14ac:dyDescent="0.2">
      <c r="A128" s="118"/>
      <c r="B128" s="118"/>
      <c r="C128" s="118"/>
      <c r="D128" s="118"/>
      <c r="E128" s="118"/>
      <c r="F128" s="118"/>
      <c r="G128" s="118"/>
      <c r="H128" s="118"/>
      <c r="I128" s="118"/>
    </row>
    <row r="129" spans="1:9" ht="12.75" customHeight="1" x14ac:dyDescent="0.2">
      <c r="A129" s="118"/>
      <c r="B129" s="118"/>
      <c r="C129" s="118"/>
      <c r="D129" s="118"/>
      <c r="E129" s="118"/>
      <c r="F129" s="118"/>
      <c r="G129" s="118"/>
      <c r="H129" s="118"/>
      <c r="I129" s="118"/>
    </row>
    <row r="130" spans="1:9" ht="12.75" customHeight="1" x14ac:dyDescent="0.2">
      <c r="A130" s="118"/>
      <c r="B130" s="118"/>
      <c r="C130" s="118"/>
      <c r="D130" s="118"/>
      <c r="E130" s="118"/>
      <c r="F130" s="118"/>
      <c r="G130" s="118"/>
      <c r="H130" s="118"/>
      <c r="I130" s="118"/>
    </row>
    <row r="131" spans="1:9" ht="12.75" customHeight="1" x14ac:dyDescent="0.2">
      <c r="A131" s="118"/>
      <c r="B131" s="118"/>
      <c r="C131" s="118"/>
      <c r="D131" s="118"/>
      <c r="E131" s="118"/>
      <c r="F131" s="118"/>
      <c r="G131" s="118"/>
      <c r="H131" s="118"/>
      <c r="I131" s="118"/>
    </row>
    <row r="132" spans="1:9" ht="12.75" customHeight="1" x14ac:dyDescent="0.2">
      <c r="A132" s="118"/>
      <c r="B132" s="118"/>
      <c r="C132" s="118"/>
      <c r="D132" s="118"/>
      <c r="E132" s="118"/>
      <c r="F132" s="118"/>
      <c r="G132" s="118"/>
      <c r="H132" s="118"/>
      <c r="I132" s="118"/>
    </row>
    <row r="133" spans="1:9" ht="12.75" customHeight="1" x14ac:dyDescent="0.2">
      <c r="A133" s="118"/>
      <c r="B133" s="118"/>
      <c r="C133" s="118"/>
      <c r="D133" s="118"/>
      <c r="E133" s="118"/>
      <c r="F133" s="118"/>
      <c r="G133" s="118"/>
      <c r="H133" s="118"/>
      <c r="I133" s="118"/>
    </row>
    <row r="134" spans="1:9" ht="12.75" customHeight="1" x14ac:dyDescent="0.2">
      <c r="A134" s="118"/>
      <c r="B134" s="118"/>
      <c r="C134" s="118"/>
      <c r="D134" s="118"/>
      <c r="E134" s="118"/>
      <c r="F134" s="118"/>
      <c r="G134" s="118"/>
      <c r="H134" s="118"/>
      <c r="I134" s="118"/>
    </row>
    <row r="135" spans="1:9" ht="12.75" customHeight="1" x14ac:dyDescent="0.2">
      <c r="A135" s="118"/>
      <c r="B135" s="118"/>
      <c r="C135" s="118"/>
      <c r="D135" s="118"/>
      <c r="E135" s="118"/>
      <c r="F135" s="118"/>
      <c r="G135" s="118"/>
      <c r="H135" s="118"/>
      <c r="I135" s="118"/>
    </row>
    <row r="136" spans="1:9" ht="12.75" customHeight="1" x14ac:dyDescent="0.2">
      <c r="A136" s="118"/>
      <c r="B136" s="118"/>
      <c r="C136" s="118"/>
      <c r="D136" s="118"/>
      <c r="E136" s="118"/>
      <c r="F136" s="118"/>
      <c r="G136" s="118"/>
      <c r="H136" s="118"/>
      <c r="I136" s="118"/>
    </row>
    <row r="137" spans="1:9" ht="12.75" customHeight="1" x14ac:dyDescent="0.2">
      <c r="A137" s="118"/>
      <c r="B137" s="118"/>
      <c r="C137" s="118"/>
      <c r="D137" s="118"/>
      <c r="E137" s="118"/>
      <c r="F137" s="118"/>
      <c r="G137" s="118"/>
      <c r="H137" s="118"/>
      <c r="I137" s="118"/>
    </row>
    <row r="138" spans="1:9" ht="12.75" customHeight="1" x14ac:dyDescent="0.2">
      <c r="A138" s="118"/>
      <c r="B138" s="118"/>
      <c r="C138" s="118"/>
      <c r="D138" s="118"/>
      <c r="E138" s="118"/>
      <c r="F138" s="118"/>
      <c r="G138" s="118"/>
      <c r="H138" s="118"/>
      <c r="I138" s="118"/>
    </row>
    <row r="139" spans="1:9" ht="12.75" customHeight="1" x14ac:dyDescent="0.2">
      <c r="A139" s="118"/>
      <c r="B139" s="118"/>
      <c r="C139" s="118"/>
      <c r="D139" s="118"/>
      <c r="E139" s="118"/>
      <c r="F139" s="118"/>
      <c r="G139" s="118"/>
      <c r="H139" s="118"/>
      <c r="I139" s="118"/>
    </row>
    <row r="140" spans="1:9" ht="12.75" customHeight="1" x14ac:dyDescent="0.2">
      <c r="A140" s="118"/>
      <c r="B140" s="118"/>
      <c r="C140" s="118"/>
      <c r="D140" s="118"/>
      <c r="E140" s="118"/>
      <c r="F140" s="118"/>
      <c r="G140" s="118"/>
      <c r="H140" s="118"/>
      <c r="I140" s="118"/>
    </row>
    <row r="141" spans="1:9" ht="12.75" customHeight="1" x14ac:dyDescent="0.2">
      <c r="A141" s="118"/>
      <c r="B141" s="118"/>
      <c r="C141" s="118"/>
      <c r="D141" s="118"/>
      <c r="E141" s="118"/>
      <c r="F141" s="118"/>
      <c r="G141" s="118"/>
      <c r="H141" s="118"/>
      <c r="I141" s="118"/>
    </row>
    <row r="142" spans="1:9" ht="12.75" customHeight="1" x14ac:dyDescent="0.2">
      <c r="A142" s="118"/>
      <c r="B142" s="118"/>
      <c r="C142" s="118"/>
      <c r="D142" s="118"/>
      <c r="E142" s="118"/>
      <c r="F142" s="118"/>
      <c r="G142" s="118"/>
      <c r="H142" s="118"/>
      <c r="I142" s="118"/>
    </row>
    <row r="143" spans="1:9" ht="12.75" customHeight="1" x14ac:dyDescent="0.2">
      <c r="A143" s="118"/>
      <c r="B143" s="118"/>
      <c r="C143" s="118"/>
      <c r="D143" s="118"/>
      <c r="E143" s="118"/>
      <c r="F143" s="118"/>
      <c r="G143" s="118"/>
      <c r="H143" s="118"/>
      <c r="I143" s="118"/>
    </row>
    <row r="144" spans="1:9" ht="12.75" customHeight="1" x14ac:dyDescent="0.2">
      <c r="A144" s="118"/>
      <c r="B144" s="118"/>
      <c r="C144" s="118"/>
      <c r="D144" s="118"/>
      <c r="E144" s="118"/>
      <c r="F144" s="118"/>
      <c r="G144" s="118"/>
      <c r="H144" s="118"/>
      <c r="I144" s="118"/>
    </row>
    <row r="145" spans="1:9" ht="12.75" customHeight="1" x14ac:dyDescent="0.2">
      <c r="A145" s="118"/>
      <c r="B145" s="118"/>
      <c r="C145" s="118"/>
      <c r="D145" s="118"/>
      <c r="E145" s="118"/>
      <c r="F145" s="118"/>
      <c r="G145" s="118"/>
      <c r="H145" s="118"/>
      <c r="I145" s="118"/>
    </row>
    <row r="146" spans="1:9" ht="12.75" customHeight="1" x14ac:dyDescent="0.2">
      <c r="A146" s="118"/>
      <c r="B146" s="118"/>
      <c r="C146" s="118"/>
      <c r="D146" s="118"/>
      <c r="E146" s="118"/>
      <c r="F146" s="118"/>
      <c r="G146" s="118"/>
      <c r="H146" s="118"/>
      <c r="I146" s="118"/>
    </row>
    <row r="147" spans="1:9" ht="12.75" customHeight="1" x14ac:dyDescent="0.2">
      <c r="A147" s="118"/>
      <c r="B147" s="118"/>
      <c r="C147" s="118"/>
      <c r="D147" s="118"/>
      <c r="E147" s="118"/>
      <c r="F147" s="118"/>
      <c r="G147" s="118"/>
      <c r="H147" s="118"/>
      <c r="I147" s="118"/>
    </row>
    <row r="148" spans="1:9" ht="12.75" customHeight="1" x14ac:dyDescent="0.2">
      <c r="A148" s="118"/>
      <c r="B148" s="118"/>
      <c r="C148" s="118"/>
      <c r="D148" s="118"/>
      <c r="E148" s="118"/>
      <c r="F148" s="118"/>
      <c r="G148" s="118"/>
      <c r="H148" s="118"/>
      <c r="I148" s="118"/>
    </row>
    <row r="149" spans="1:9" ht="12.75" customHeight="1" x14ac:dyDescent="0.2">
      <c r="A149" s="118"/>
      <c r="B149" s="118"/>
      <c r="C149" s="118"/>
      <c r="D149" s="118"/>
      <c r="E149" s="118"/>
      <c r="F149" s="118"/>
      <c r="G149" s="118"/>
      <c r="H149" s="118"/>
      <c r="I149" s="118"/>
    </row>
    <row r="150" spans="1:9" ht="12.75" customHeight="1" x14ac:dyDescent="0.2">
      <c r="A150" s="118"/>
      <c r="B150" s="118"/>
      <c r="C150" s="118"/>
      <c r="D150" s="118"/>
      <c r="E150" s="118"/>
      <c r="F150" s="118"/>
      <c r="G150" s="118"/>
      <c r="H150" s="118"/>
      <c r="I150" s="118"/>
    </row>
    <row r="151" spans="1:9" ht="12.75" customHeight="1" x14ac:dyDescent="0.2">
      <c r="A151" s="118"/>
      <c r="B151" s="118"/>
      <c r="C151" s="118"/>
      <c r="D151" s="118"/>
      <c r="E151" s="118"/>
      <c r="F151" s="118"/>
      <c r="G151" s="118"/>
      <c r="H151" s="118"/>
      <c r="I151" s="118"/>
    </row>
    <row r="152" spans="1:9" ht="12.75" customHeight="1" x14ac:dyDescent="0.2">
      <c r="A152" s="118"/>
      <c r="B152" s="118"/>
      <c r="C152" s="118"/>
      <c r="D152" s="118"/>
      <c r="E152" s="118"/>
      <c r="F152" s="118"/>
      <c r="G152" s="118"/>
      <c r="H152" s="118"/>
      <c r="I152" s="118"/>
    </row>
    <row r="153" spans="1:9" ht="12.75" customHeight="1" x14ac:dyDescent="0.2">
      <c r="A153" s="118"/>
      <c r="B153" s="118"/>
      <c r="C153" s="118"/>
      <c r="D153" s="118"/>
      <c r="E153" s="118"/>
      <c r="F153" s="118"/>
      <c r="G153" s="118"/>
      <c r="H153" s="118"/>
      <c r="I153" s="118"/>
    </row>
    <row r="154" spans="1:9" ht="12.75" customHeight="1" x14ac:dyDescent="0.2">
      <c r="A154" s="118"/>
      <c r="B154" s="118"/>
      <c r="C154" s="118"/>
      <c r="D154" s="118"/>
      <c r="E154" s="118"/>
      <c r="F154" s="118"/>
      <c r="G154" s="118"/>
      <c r="H154" s="118"/>
      <c r="I154" s="118"/>
    </row>
    <row r="155" spans="1:9" ht="12.75" customHeight="1" x14ac:dyDescent="0.2">
      <c r="A155" s="118"/>
      <c r="B155" s="118"/>
      <c r="C155" s="118"/>
      <c r="D155" s="118"/>
      <c r="E155" s="118"/>
      <c r="F155" s="118"/>
      <c r="G155" s="118"/>
      <c r="H155" s="118"/>
      <c r="I155" s="118"/>
    </row>
    <row r="156" spans="1:9" ht="12.75" customHeight="1" x14ac:dyDescent="0.2">
      <c r="A156" s="118"/>
      <c r="B156" s="118"/>
      <c r="C156" s="118"/>
      <c r="D156" s="118"/>
      <c r="E156" s="118"/>
      <c r="F156" s="118"/>
      <c r="G156" s="118"/>
      <c r="H156" s="118"/>
      <c r="I156" s="118"/>
    </row>
    <row r="157" spans="1:9" ht="12.75" customHeight="1" x14ac:dyDescent="0.2">
      <c r="A157" s="118"/>
      <c r="B157" s="118"/>
      <c r="C157" s="118"/>
      <c r="D157" s="118"/>
      <c r="E157" s="118"/>
      <c r="F157" s="118"/>
      <c r="G157" s="118"/>
      <c r="H157" s="118"/>
      <c r="I157" s="118"/>
    </row>
    <row r="158" spans="1:9" ht="12.75" customHeight="1" x14ac:dyDescent="0.2">
      <c r="A158" s="118"/>
      <c r="B158" s="118"/>
      <c r="C158" s="118"/>
      <c r="D158" s="118"/>
      <c r="E158" s="118"/>
      <c r="F158" s="118"/>
      <c r="G158" s="118"/>
      <c r="H158" s="118"/>
      <c r="I158" s="118"/>
    </row>
    <row r="159" spans="1:9" ht="12.75" customHeight="1" x14ac:dyDescent="0.2">
      <c r="A159" s="118"/>
      <c r="B159" s="118"/>
      <c r="C159" s="118"/>
      <c r="D159" s="118"/>
      <c r="E159" s="118"/>
      <c r="F159" s="118"/>
      <c r="G159" s="118"/>
      <c r="H159" s="118"/>
      <c r="I159" s="118"/>
    </row>
    <row r="160" spans="1:9" ht="12.75" customHeight="1" x14ac:dyDescent="0.2">
      <c r="A160" s="118"/>
      <c r="B160" s="118"/>
      <c r="C160" s="118"/>
      <c r="D160" s="118"/>
      <c r="E160" s="118"/>
      <c r="F160" s="118"/>
      <c r="G160" s="118"/>
      <c r="H160" s="118"/>
      <c r="I160" s="118"/>
    </row>
    <row r="161" spans="1:9" ht="12.75" customHeight="1" x14ac:dyDescent="0.2">
      <c r="A161" s="118"/>
      <c r="B161" s="118"/>
      <c r="C161" s="118"/>
      <c r="D161" s="118"/>
      <c r="E161" s="118"/>
      <c r="F161" s="118"/>
      <c r="G161" s="118"/>
      <c r="H161" s="118"/>
      <c r="I161" s="118"/>
    </row>
    <row r="162" spans="1:9" ht="12.75" customHeight="1" x14ac:dyDescent="0.2">
      <c r="A162" s="118"/>
      <c r="B162" s="118"/>
      <c r="C162" s="118"/>
      <c r="D162" s="118"/>
      <c r="E162" s="118"/>
      <c r="F162" s="118"/>
      <c r="G162" s="118"/>
      <c r="H162" s="118"/>
      <c r="I162" s="118"/>
    </row>
    <row r="163" spans="1:9" ht="12.75" customHeight="1" x14ac:dyDescent="0.2">
      <c r="A163" s="118"/>
      <c r="B163" s="118"/>
      <c r="C163" s="118"/>
      <c r="D163" s="118"/>
      <c r="E163" s="118"/>
      <c r="F163" s="118"/>
      <c r="G163" s="118"/>
      <c r="H163" s="118"/>
      <c r="I163" s="118"/>
    </row>
    <row r="164" spans="1:9" ht="12.75" customHeight="1" x14ac:dyDescent="0.2">
      <c r="A164" s="118"/>
      <c r="B164" s="118"/>
      <c r="C164" s="118"/>
      <c r="D164" s="118"/>
      <c r="E164" s="118"/>
      <c r="F164" s="118"/>
      <c r="G164" s="118"/>
      <c r="H164" s="118"/>
      <c r="I164" s="118"/>
    </row>
    <row r="165" spans="1:9" ht="12.75" customHeight="1" x14ac:dyDescent="0.2">
      <c r="A165" s="118"/>
      <c r="B165" s="118"/>
      <c r="C165" s="118"/>
      <c r="D165" s="118"/>
      <c r="E165" s="118"/>
      <c r="F165" s="118"/>
      <c r="G165" s="118"/>
      <c r="H165" s="118"/>
      <c r="I165" s="118"/>
    </row>
    <row r="166" spans="1:9" ht="12.75" customHeight="1" x14ac:dyDescent="0.2">
      <c r="A166" s="118"/>
      <c r="B166" s="118"/>
      <c r="C166" s="118"/>
      <c r="D166" s="118"/>
      <c r="E166" s="118"/>
      <c r="F166" s="118"/>
      <c r="G166" s="118"/>
      <c r="H166" s="118"/>
      <c r="I166" s="118"/>
    </row>
    <row r="167" spans="1:9" ht="12.75" customHeight="1" x14ac:dyDescent="0.2">
      <c r="A167" s="118"/>
      <c r="B167" s="118"/>
      <c r="C167" s="118"/>
      <c r="D167" s="118"/>
      <c r="E167" s="118"/>
      <c r="F167" s="118"/>
      <c r="G167" s="118"/>
      <c r="H167" s="118"/>
      <c r="I167" s="118"/>
    </row>
    <row r="168" spans="1:9" ht="12.75" customHeight="1" x14ac:dyDescent="0.2">
      <c r="A168" s="118"/>
      <c r="B168" s="118"/>
      <c r="C168" s="118"/>
      <c r="D168" s="118"/>
      <c r="E168" s="118"/>
      <c r="F168" s="118"/>
      <c r="G168" s="118"/>
      <c r="H168" s="118"/>
      <c r="I168" s="118"/>
    </row>
    <row r="169" spans="1:9" ht="12.75" customHeight="1" x14ac:dyDescent="0.2">
      <c r="A169" s="118"/>
      <c r="B169" s="118"/>
      <c r="C169" s="118"/>
      <c r="D169" s="118"/>
      <c r="E169" s="118"/>
      <c r="F169" s="118"/>
      <c r="G169" s="118"/>
      <c r="H169" s="118"/>
      <c r="I169" s="118"/>
    </row>
    <row r="170" spans="1:9" ht="12.75" customHeight="1" x14ac:dyDescent="0.2">
      <c r="A170" s="118"/>
      <c r="B170" s="118"/>
      <c r="C170" s="118"/>
      <c r="D170" s="118"/>
      <c r="E170" s="118"/>
      <c r="F170" s="118"/>
      <c r="G170" s="118"/>
      <c r="H170" s="118"/>
      <c r="I170" s="118"/>
    </row>
    <row r="171" spans="1:9" ht="12.75" customHeight="1" x14ac:dyDescent="0.2">
      <c r="A171" s="118"/>
      <c r="B171" s="118"/>
      <c r="C171" s="118"/>
      <c r="D171" s="118"/>
      <c r="E171" s="118"/>
      <c r="F171" s="118"/>
      <c r="G171" s="118"/>
      <c r="H171" s="118"/>
      <c r="I171" s="118"/>
    </row>
    <row r="172" spans="1:9" ht="12.75" customHeight="1" x14ac:dyDescent="0.2">
      <c r="A172" s="118"/>
      <c r="B172" s="118"/>
      <c r="C172" s="118"/>
      <c r="D172" s="118"/>
      <c r="E172" s="118"/>
      <c r="F172" s="118"/>
      <c r="G172" s="118"/>
      <c r="H172" s="118"/>
      <c r="I172" s="118"/>
    </row>
    <row r="173" spans="1:9" ht="12.75" customHeight="1" x14ac:dyDescent="0.2">
      <c r="A173" s="118"/>
      <c r="B173" s="118"/>
      <c r="C173" s="118"/>
      <c r="D173" s="118"/>
      <c r="E173" s="118"/>
      <c r="F173" s="118"/>
      <c r="G173" s="118"/>
      <c r="H173" s="118"/>
      <c r="I173" s="118"/>
    </row>
    <row r="174" spans="1:9" ht="12.75" customHeight="1" x14ac:dyDescent="0.2">
      <c r="A174" s="118"/>
      <c r="B174" s="118"/>
      <c r="C174" s="118"/>
      <c r="D174" s="118"/>
      <c r="E174" s="118"/>
      <c r="F174" s="118"/>
      <c r="G174" s="118"/>
      <c r="H174" s="118"/>
      <c r="I174" s="118"/>
    </row>
    <row r="175" spans="1:9" ht="12.75" customHeight="1" x14ac:dyDescent="0.2">
      <c r="A175" s="118"/>
      <c r="B175" s="118"/>
      <c r="C175" s="118"/>
      <c r="D175" s="118"/>
      <c r="E175" s="118"/>
      <c r="F175" s="118"/>
      <c r="G175" s="118"/>
      <c r="H175" s="118"/>
      <c r="I175" s="118"/>
    </row>
    <row r="176" spans="1:9" ht="12.75" customHeight="1" x14ac:dyDescent="0.2">
      <c r="A176" s="118"/>
      <c r="B176" s="118"/>
      <c r="C176" s="118"/>
      <c r="D176" s="118"/>
      <c r="E176" s="118"/>
      <c r="F176" s="118"/>
      <c r="G176" s="118"/>
      <c r="H176" s="118"/>
      <c r="I176" s="118"/>
    </row>
    <row r="177" spans="1:9" ht="12.75" customHeight="1" x14ac:dyDescent="0.2">
      <c r="A177" s="118"/>
      <c r="B177" s="118"/>
      <c r="C177" s="118"/>
      <c r="D177" s="118"/>
      <c r="E177" s="118"/>
      <c r="F177" s="118"/>
      <c r="G177" s="118"/>
      <c r="H177" s="118"/>
      <c r="I177" s="118"/>
    </row>
    <row r="178" spans="1:9" ht="12.75" customHeight="1" x14ac:dyDescent="0.2">
      <c r="A178" s="118"/>
      <c r="B178" s="118"/>
      <c r="C178" s="118"/>
      <c r="D178" s="118"/>
      <c r="E178" s="118"/>
      <c r="F178" s="118"/>
      <c r="G178" s="118"/>
      <c r="H178" s="118"/>
      <c r="I178" s="118"/>
    </row>
    <row r="179" spans="1:9" ht="12.75" customHeight="1" x14ac:dyDescent="0.2">
      <c r="A179" s="118"/>
      <c r="B179" s="118"/>
      <c r="C179" s="118"/>
      <c r="D179" s="118"/>
      <c r="E179" s="118"/>
      <c r="F179" s="118"/>
      <c r="G179" s="118"/>
      <c r="H179" s="118"/>
      <c r="I179" s="118"/>
    </row>
    <row r="180" spans="1:9" ht="12.75" customHeight="1" x14ac:dyDescent="0.2">
      <c r="A180" s="118"/>
      <c r="B180" s="118"/>
      <c r="C180" s="118"/>
      <c r="D180" s="118"/>
      <c r="E180" s="118"/>
      <c r="F180" s="118"/>
      <c r="G180" s="118"/>
      <c r="H180" s="118"/>
      <c r="I180" s="118"/>
    </row>
    <row r="181" spans="1:9" ht="12.75" customHeight="1" x14ac:dyDescent="0.2">
      <c r="A181" s="118"/>
      <c r="B181" s="118"/>
      <c r="C181" s="118"/>
      <c r="D181" s="118"/>
      <c r="E181" s="118"/>
      <c r="F181" s="118"/>
      <c r="G181" s="118"/>
      <c r="H181" s="118"/>
      <c r="I181" s="118"/>
    </row>
    <row r="182" spans="1:9" ht="12.75" customHeight="1" x14ac:dyDescent="0.2">
      <c r="A182" s="118"/>
      <c r="B182" s="118"/>
      <c r="C182" s="118"/>
      <c r="D182" s="118"/>
      <c r="E182" s="118"/>
      <c r="F182" s="118"/>
      <c r="G182" s="118"/>
      <c r="H182" s="118"/>
      <c r="I182" s="118"/>
    </row>
    <row r="183" spans="1:9" ht="12.75" customHeight="1" x14ac:dyDescent="0.2">
      <c r="A183" s="118"/>
      <c r="B183" s="118"/>
      <c r="C183" s="118"/>
      <c r="D183" s="118"/>
      <c r="E183" s="118"/>
      <c r="F183" s="118"/>
      <c r="G183" s="118"/>
      <c r="H183" s="118"/>
      <c r="I183" s="118"/>
    </row>
    <row r="184" spans="1:9" ht="12.75" customHeight="1" x14ac:dyDescent="0.2">
      <c r="A184" s="118"/>
      <c r="B184" s="118"/>
      <c r="C184" s="118"/>
      <c r="D184" s="118"/>
      <c r="E184" s="118"/>
      <c r="F184" s="118"/>
      <c r="G184" s="118"/>
      <c r="H184" s="118"/>
      <c r="I184" s="118"/>
    </row>
    <row r="185" spans="1:9" ht="12.75" customHeight="1" x14ac:dyDescent="0.2">
      <c r="A185" s="118"/>
      <c r="B185" s="118"/>
      <c r="C185" s="118"/>
      <c r="D185" s="118"/>
      <c r="E185" s="118"/>
      <c r="F185" s="118"/>
      <c r="G185" s="118"/>
      <c r="H185" s="118"/>
      <c r="I185" s="118"/>
    </row>
    <row r="186" spans="1:9" ht="12.75" customHeight="1" x14ac:dyDescent="0.2">
      <c r="A186" s="118"/>
      <c r="B186" s="118"/>
      <c r="C186" s="118"/>
      <c r="D186" s="118"/>
      <c r="E186" s="118"/>
      <c r="F186" s="118"/>
      <c r="G186" s="118"/>
      <c r="H186" s="118"/>
      <c r="I186" s="118"/>
    </row>
    <row r="187" spans="1:9" ht="12.75" customHeight="1" x14ac:dyDescent="0.2">
      <c r="A187" s="118"/>
      <c r="B187" s="118"/>
      <c r="C187" s="118"/>
      <c r="D187" s="118"/>
      <c r="E187" s="118"/>
      <c r="F187" s="118"/>
      <c r="G187" s="118"/>
      <c r="H187" s="118"/>
      <c r="I187" s="118"/>
    </row>
    <row r="188" spans="1:9" ht="12.75" customHeight="1" x14ac:dyDescent="0.2">
      <c r="A188" s="118"/>
      <c r="B188" s="118"/>
      <c r="C188" s="118"/>
      <c r="D188" s="118"/>
      <c r="E188" s="118"/>
      <c r="F188" s="118"/>
      <c r="G188" s="118"/>
      <c r="H188" s="118"/>
      <c r="I188" s="118"/>
    </row>
    <row r="189" spans="1:9" ht="12.75" customHeight="1" x14ac:dyDescent="0.2">
      <c r="A189" s="118"/>
      <c r="B189" s="118"/>
      <c r="C189" s="118"/>
      <c r="D189" s="118"/>
      <c r="E189" s="118"/>
      <c r="F189" s="118"/>
      <c r="G189" s="118"/>
      <c r="H189" s="118"/>
      <c r="I189" s="118"/>
    </row>
    <row r="190" spans="1:9" ht="12.75" customHeight="1" x14ac:dyDescent="0.2">
      <c r="A190" s="118"/>
      <c r="B190" s="118"/>
      <c r="C190" s="118"/>
      <c r="D190" s="118"/>
      <c r="E190" s="118"/>
      <c r="F190" s="118"/>
      <c r="G190" s="118"/>
      <c r="H190" s="118"/>
      <c r="I190" s="118"/>
    </row>
    <row r="191" spans="1:9" ht="12.75" customHeight="1" x14ac:dyDescent="0.2">
      <c r="A191" s="118"/>
      <c r="B191" s="118"/>
      <c r="C191" s="118"/>
      <c r="D191" s="118"/>
      <c r="E191" s="118"/>
      <c r="F191" s="118"/>
      <c r="G191" s="118"/>
      <c r="H191" s="118"/>
      <c r="I191" s="118"/>
    </row>
    <row r="192" spans="1:9" ht="12.75" customHeight="1" x14ac:dyDescent="0.2">
      <c r="A192" s="118"/>
      <c r="B192" s="118"/>
      <c r="C192" s="118"/>
      <c r="D192" s="118"/>
      <c r="E192" s="118"/>
      <c r="F192" s="118"/>
      <c r="G192" s="118"/>
      <c r="H192" s="118"/>
      <c r="I192" s="118"/>
    </row>
    <row r="193" spans="1:9" ht="12.75" customHeight="1" x14ac:dyDescent="0.2">
      <c r="A193" s="118"/>
      <c r="B193" s="118"/>
      <c r="C193" s="118"/>
      <c r="D193" s="118"/>
      <c r="E193" s="118"/>
      <c r="F193" s="118"/>
      <c r="G193" s="118"/>
      <c r="H193" s="118"/>
      <c r="I193" s="118"/>
    </row>
    <row r="194" spans="1:9" ht="12.75" customHeight="1" x14ac:dyDescent="0.2">
      <c r="A194" s="118"/>
      <c r="B194" s="118"/>
      <c r="C194" s="118"/>
      <c r="D194" s="118"/>
      <c r="E194" s="118"/>
      <c r="F194" s="118"/>
      <c r="G194" s="118"/>
      <c r="H194" s="118"/>
      <c r="I194" s="118"/>
    </row>
    <row r="195" spans="1:9" ht="12.75" customHeight="1" x14ac:dyDescent="0.2">
      <c r="A195" s="118"/>
      <c r="B195" s="118"/>
      <c r="C195" s="118"/>
      <c r="D195" s="118"/>
      <c r="E195" s="118"/>
      <c r="F195" s="118"/>
      <c r="G195" s="118"/>
      <c r="H195" s="118"/>
      <c r="I195" s="118"/>
    </row>
    <row r="196" spans="1:9" ht="12.75" customHeight="1" x14ac:dyDescent="0.2">
      <c r="A196" s="118"/>
      <c r="B196" s="118"/>
      <c r="C196" s="118"/>
      <c r="D196" s="118"/>
      <c r="E196" s="118"/>
      <c r="F196" s="118"/>
      <c r="G196" s="118"/>
      <c r="H196" s="118"/>
      <c r="I196" s="118"/>
    </row>
    <row r="197" spans="1:9" ht="12.75" customHeight="1" x14ac:dyDescent="0.2">
      <c r="A197" s="118"/>
      <c r="B197" s="118"/>
      <c r="C197" s="118"/>
      <c r="D197" s="118"/>
      <c r="E197" s="118"/>
      <c r="F197" s="118"/>
      <c r="G197" s="118"/>
      <c r="H197" s="118"/>
      <c r="I197" s="118"/>
    </row>
    <row r="198" spans="1:9" ht="12.75" customHeight="1" x14ac:dyDescent="0.2">
      <c r="A198" s="118"/>
      <c r="B198" s="118"/>
      <c r="C198" s="118"/>
      <c r="D198" s="118"/>
      <c r="E198" s="118"/>
      <c r="F198" s="118"/>
      <c r="G198" s="118"/>
      <c r="H198" s="118"/>
      <c r="I198" s="118"/>
    </row>
    <row r="199" spans="1:9" ht="12.75" customHeight="1" x14ac:dyDescent="0.2">
      <c r="A199" s="118"/>
      <c r="B199" s="118"/>
      <c r="C199" s="118"/>
      <c r="D199" s="118"/>
      <c r="E199" s="118"/>
      <c r="F199" s="118"/>
      <c r="G199" s="118"/>
      <c r="H199" s="118"/>
      <c r="I199" s="118"/>
    </row>
    <row r="200" spans="1:9" ht="12.75" customHeight="1" x14ac:dyDescent="0.2">
      <c r="A200" s="118"/>
      <c r="B200" s="118"/>
      <c r="C200" s="118"/>
      <c r="D200" s="118"/>
      <c r="E200" s="118"/>
      <c r="F200" s="118"/>
      <c r="G200" s="118"/>
      <c r="H200" s="118"/>
      <c r="I200" s="118"/>
    </row>
    <row r="201" spans="1:9" ht="12.75" customHeight="1" x14ac:dyDescent="0.2">
      <c r="A201" s="118"/>
      <c r="B201" s="118"/>
      <c r="C201" s="118"/>
      <c r="D201" s="118"/>
      <c r="E201" s="118"/>
      <c r="F201" s="118"/>
      <c r="G201" s="118"/>
      <c r="H201" s="118"/>
      <c r="I201" s="118"/>
    </row>
    <row r="202" spans="1:9" ht="12.75" customHeight="1" x14ac:dyDescent="0.2">
      <c r="A202" s="118"/>
      <c r="B202" s="118"/>
      <c r="C202" s="118"/>
      <c r="D202" s="118"/>
      <c r="E202" s="118"/>
      <c r="F202" s="118"/>
      <c r="G202" s="118"/>
      <c r="H202" s="118"/>
      <c r="I202" s="118"/>
    </row>
    <row r="203" spans="1:9" ht="12.75" customHeight="1" x14ac:dyDescent="0.2">
      <c r="A203" s="118"/>
      <c r="B203" s="118"/>
      <c r="C203" s="118"/>
      <c r="D203" s="118"/>
      <c r="E203" s="118"/>
      <c r="F203" s="118"/>
      <c r="G203" s="118"/>
      <c r="H203" s="118"/>
      <c r="I203" s="118"/>
    </row>
    <row r="204" spans="1:9" ht="12.75" customHeight="1" x14ac:dyDescent="0.2">
      <c r="A204" s="118"/>
      <c r="B204" s="118"/>
      <c r="C204" s="118"/>
      <c r="D204" s="118"/>
      <c r="E204" s="118"/>
      <c r="F204" s="118"/>
      <c r="G204" s="118"/>
      <c r="H204" s="118"/>
      <c r="I204" s="118"/>
    </row>
    <row r="205" spans="1:9" ht="12.75" customHeight="1" x14ac:dyDescent="0.2">
      <c r="A205" s="118"/>
      <c r="B205" s="118"/>
      <c r="C205" s="118"/>
      <c r="D205" s="118"/>
      <c r="E205" s="118"/>
      <c r="F205" s="118"/>
      <c r="G205" s="118"/>
      <c r="H205" s="118"/>
      <c r="I205" s="118"/>
    </row>
    <row r="206" spans="1:9" ht="12.75" customHeight="1" x14ac:dyDescent="0.2">
      <c r="A206" s="118"/>
      <c r="B206" s="118"/>
      <c r="C206" s="118"/>
      <c r="D206" s="118"/>
      <c r="E206" s="118"/>
      <c r="F206" s="118"/>
      <c r="G206" s="118"/>
      <c r="H206" s="118"/>
      <c r="I206" s="118"/>
    </row>
    <row r="207" spans="1:9" ht="12.75" customHeight="1" x14ac:dyDescent="0.2">
      <c r="A207" s="118"/>
      <c r="B207" s="118"/>
      <c r="C207" s="118"/>
      <c r="D207" s="118"/>
      <c r="E207" s="118"/>
      <c r="F207" s="118"/>
      <c r="G207" s="118"/>
      <c r="H207" s="118"/>
      <c r="I207" s="118"/>
    </row>
    <row r="208" spans="1:9" ht="12.75" customHeight="1" x14ac:dyDescent="0.2">
      <c r="A208" s="118"/>
      <c r="B208" s="118"/>
      <c r="C208" s="118"/>
      <c r="D208" s="118"/>
      <c r="E208" s="118"/>
      <c r="F208" s="118"/>
      <c r="G208" s="118"/>
      <c r="H208" s="118"/>
      <c r="I208" s="118"/>
    </row>
    <row r="209" spans="1:9" ht="12.75" customHeight="1" x14ac:dyDescent="0.2">
      <c r="A209" s="118"/>
      <c r="B209" s="118"/>
      <c r="C209" s="118"/>
      <c r="D209" s="118"/>
      <c r="E209" s="118"/>
      <c r="F209" s="118"/>
      <c r="G209" s="118"/>
      <c r="H209" s="118"/>
      <c r="I209" s="118"/>
    </row>
    <row r="210" spans="1:9" ht="12.75" customHeight="1" x14ac:dyDescent="0.2">
      <c r="A210" s="118"/>
      <c r="B210" s="118"/>
      <c r="C210" s="118"/>
      <c r="D210" s="118"/>
      <c r="E210" s="118"/>
      <c r="F210" s="118"/>
      <c r="G210" s="118"/>
      <c r="H210" s="118"/>
      <c r="I210" s="118"/>
    </row>
    <row r="211" spans="1:9" ht="12.75" customHeight="1" x14ac:dyDescent="0.2">
      <c r="A211" s="118"/>
      <c r="B211" s="118"/>
      <c r="C211" s="118"/>
      <c r="D211" s="118"/>
      <c r="E211" s="118"/>
      <c r="F211" s="118"/>
      <c r="G211" s="118"/>
      <c r="H211" s="118"/>
      <c r="I211" s="118"/>
    </row>
    <row r="212" spans="1:9" ht="12.75" customHeight="1" x14ac:dyDescent="0.2">
      <c r="A212" s="118"/>
      <c r="B212" s="118"/>
      <c r="C212" s="118"/>
      <c r="D212" s="118"/>
      <c r="E212" s="118"/>
      <c r="F212" s="118"/>
      <c r="G212" s="118"/>
      <c r="H212" s="118"/>
      <c r="I212" s="118"/>
    </row>
    <row r="213" spans="1:9" ht="12.75" customHeight="1" x14ac:dyDescent="0.2">
      <c r="A213" s="118"/>
      <c r="B213" s="118"/>
      <c r="C213" s="118"/>
      <c r="D213" s="118"/>
      <c r="E213" s="118"/>
      <c r="F213" s="118"/>
      <c r="G213" s="118"/>
      <c r="H213" s="118"/>
      <c r="I213" s="118"/>
    </row>
    <row r="214" spans="1:9" ht="12.75" customHeight="1" x14ac:dyDescent="0.2">
      <c r="A214" s="118"/>
      <c r="B214" s="118"/>
      <c r="C214" s="118"/>
      <c r="D214" s="118"/>
      <c r="E214" s="118"/>
      <c r="F214" s="118"/>
      <c r="G214" s="118"/>
      <c r="H214" s="118"/>
      <c r="I214" s="118"/>
    </row>
    <row r="215" spans="1:9" ht="12.75" customHeight="1" x14ac:dyDescent="0.2">
      <c r="A215" s="118"/>
      <c r="B215" s="118"/>
      <c r="C215" s="118"/>
      <c r="D215" s="118"/>
      <c r="E215" s="118"/>
      <c r="F215" s="118"/>
      <c r="G215" s="118"/>
      <c r="H215" s="118"/>
      <c r="I215" s="118"/>
    </row>
    <row r="216" spans="1:9" ht="12.75" customHeight="1" x14ac:dyDescent="0.2">
      <c r="A216" s="118"/>
      <c r="B216" s="118"/>
      <c r="C216" s="118"/>
      <c r="D216" s="118"/>
      <c r="E216" s="118"/>
      <c r="F216" s="118"/>
      <c r="G216" s="118"/>
      <c r="H216" s="118"/>
      <c r="I216" s="118"/>
    </row>
    <row r="217" spans="1:9" ht="12.75" customHeight="1" x14ac:dyDescent="0.2">
      <c r="A217" s="118"/>
      <c r="B217" s="118"/>
      <c r="C217" s="118"/>
      <c r="D217" s="118"/>
      <c r="E217" s="118"/>
      <c r="F217" s="118"/>
      <c r="G217" s="118"/>
      <c r="H217" s="118"/>
      <c r="I217" s="118"/>
    </row>
    <row r="218" spans="1:9" ht="12.75" customHeight="1" x14ac:dyDescent="0.2">
      <c r="A218" s="118"/>
      <c r="B218" s="118"/>
      <c r="C218" s="118"/>
      <c r="D218" s="118"/>
      <c r="E218" s="118"/>
      <c r="F218" s="118"/>
      <c r="G218" s="118"/>
      <c r="H218" s="118"/>
      <c r="I218" s="118"/>
    </row>
    <row r="219" spans="1:9" ht="12.75" customHeight="1" x14ac:dyDescent="0.2">
      <c r="A219" s="118"/>
      <c r="B219" s="118"/>
      <c r="C219" s="118"/>
      <c r="D219" s="118"/>
      <c r="E219" s="118"/>
      <c r="F219" s="118"/>
      <c r="G219" s="118"/>
      <c r="H219" s="118"/>
      <c r="I219" s="118"/>
    </row>
    <row r="220" spans="1:9" ht="12.75" customHeight="1" x14ac:dyDescent="0.2">
      <c r="A220" s="118"/>
      <c r="B220" s="118"/>
      <c r="C220" s="118"/>
      <c r="D220" s="118"/>
      <c r="E220" s="118"/>
      <c r="F220" s="118"/>
      <c r="G220" s="118"/>
      <c r="H220" s="118"/>
      <c r="I220" s="118"/>
    </row>
    <row r="221" spans="1:9" ht="12.75" customHeight="1" x14ac:dyDescent="0.2">
      <c r="A221" s="118"/>
      <c r="B221" s="118"/>
      <c r="C221" s="118"/>
      <c r="D221" s="118"/>
      <c r="E221" s="118"/>
      <c r="F221" s="118"/>
      <c r="G221" s="118"/>
      <c r="H221" s="118"/>
      <c r="I221" s="118"/>
    </row>
    <row r="222" spans="1:9" ht="12.75" customHeight="1" x14ac:dyDescent="0.2">
      <c r="A222" s="118"/>
      <c r="B222" s="118"/>
      <c r="C222" s="118"/>
      <c r="D222" s="118"/>
      <c r="E222" s="118"/>
      <c r="F222" s="118"/>
      <c r="G222" s="118"/>
      <c r="H222" s="118"/>
      <c r="I222" s="118"/>
    </row>
    <row r="223" spans="1:9" ht="12.75" customHeight="1" x14ac:dyDescent="0.2">
      <c r="A223" s="118"/>
      <c r="B223" s="118"/>
      <c r="C223" s="118"/>
      <c r="D223" s="118"/>
      <c r="E223" s="118"/>
      <c r="F223" s="118"/>
      <c r="G223" s="118"/>
      <c r="H223" s="118"/>
      <c r="I223" s="118"/>
    </row>
    <row r="224" spans="1:9" ht="12.75" customHeight="1" x14ac:dyDescent="0.2">
      <c r="A224" s="118"/>
      <c r="B224" s="118"/>
      <c r="C224" s="118"/>
      <c r="D224" s="118"/>
      <c r="E224" s="118"/>
      <c r="F224" s="118"/>
      <c r="G224" s="118"/>
      <c r="H224" s="118"/>
      <c r="I224" s="118"/>
    </row>
    <row r="225" spans="1:9" ht="12.75" customHeight="1" x14ac:dyDescent="0.2">
      <c r="A225" s="118"/>
      <c r="B225" s="118"/>
      <c r="C225" s="118"/>
      <c r="D225" s="118"/>
      <c r="E225" s="118"/>
      <c r="F225" s="118"/>
      <c r="G225" s="118"/>
      <c r="H225" s="118"/>
      <c r="I225" s="118"/>
    </row>
    <row r="226" spans="1:9" ht="12.75" customHeight="1" x14ac:dyDescent="0.2">
      <c r="A226" s="118"/>
      <c r="B226" s="118"/>
      <c r="C226" s="118"/>
      <c r="D226" s="118"/>
      <c r="E226" s="118"/>
      <c r="F226" s="118"/>
      <c r="G226" s="118"/>
      <c r="H226" s="118"/>
      <c r="I226" s="118"/>
    </row>
    <row r="227" spans="1:9" ht="12.75" customHeight="1" x14ac:dyDescent="0.2">
      <c r="A227" s="118"/>
      <c r="B227" s="118"/>
      <c r="C227" s="118"/>
      <c r="D227" s="118"/>
      <c r="E227" s="118"/>
      <c r="F227" s="118"/>
      <c r="G227" s="118"/>
      <c r="H227" s="118"/>
      <c r="I227" s="118"/>
    </row>
    <row r="228" spans="1:9" ht="12.75" customHeight="1" x14ac:dyDescent="0.2">
      <c r="A228" s="118"/>
      <c r="B228" s="118"/>
      <c r="C228" s="118"/>
      <c r="D228" s="118"/>
      <c r="E228" s="118"/>
      <c r="F228" s="118"/>
      <c r="G228" s="118"/>
      <c r="H228" s="118"/>
      <c r="I228" s="118"/>
    </row>
    <row r="229" spans="1:9" ht="12.75" customHeight="1" x14ac:dyDescent="0.2">
      <c r="A229" s="118"/>
      <c r="B229" s="118"/>
      <c r="C229" s="118"/>
      <c r="D229" s="118"/>
      <c r="E229" s="118"/>
      <c r="F229" s="118"/>
      <c r="G229" s="118"/>
      <c r="H229" s="118"/>
      <c r="I229" s="118"/>
    </row>
    <row r="230" spans="1:9" ht="12.75" customHeight="1" x14ac:dyDescent="0.2">
      <c r="A230" s="118"/>
      <c r="B230" s="118"/>
      <c r="C230" s="118"/>
      <c r="D230" s="118"/>
      <c r="E230" s="118"/>
      <c r="F230" s="118"/>
      <c r="G230" s="118"/>
      <c r="H230" s="118"/>
      <c r="I230" s="118"/>
    </row>
    <row r="231" spans="1:9" ht="12.75" customHeight="1" x14ac:dyDescent="0.2">
      <c r="A231" s="118"/>
      <c r="B231" s="118"/>
      <c r="C231" s="118"/>
      <c r="D231" s="118"/>
      <c r="E231" s="118"/>
      <c r="F231" s="118"/>
      <c r="G231" s="118"/>
      <c r="H231" s="118"/>
      <c r="I231" s="118"/>
    </row>
    <row r="232" spans="1:9" ht="12.75" customHeight="1" x14ac:dyDescent="0.2">
      <c r="A232" s="118"/>
      <c r="B232" s="118"/>
      <c r="C232" s="118"/>
      <c r="D232" s="118"/>
      <c r="E232" s="118"/>
      <c r="F232" s="118"/>
      <c r="G232" s="118"/>
      <c r="H232" s="118"/>
      <c r="I232" s="118"/>
    </row>
    <row r="233" spans="1:9" ht="12.75" customHeight="1" x14ac:dyDescent="0.2">
      <c r="A233" s="118"/>
      <c r="B233" s="118"/>
      <c r="C233" s="118"/>
      <c r="D233" s="118"/>
      <c r="E233" s="118"/>
      <c r="F233" s="118"/>
      <c r="G233" s="118"/>
      <c r="H233" s="118"/>
      <c r="I233" s="118"/>
    </row>
    <row r="234" spans="1:9" ht="12.75" customHeight="1" x14ac:dyDescent="0.2">
      <c r="A234" s="118"/>
      <c r="B234" s="118"/>
      <c r="C234" s="118"/>
      <c r="D234" s="118"/>
      <c r="E234" s="118"/>
      <c r="F234" s="118"/>
      <c r="G234" s="118"/>
      <c r="H234" s="118"/>
      <c r="I234" s="118"/>
    </row>
    <row r="235" spans="1:9" ht="12.75" customHeight="1" x14ac:dyDescent="0.2">
      <c r="A235" s="118"/>
      <c r="B235" s="118"/>
      <c r="C235" s="118"/>
      <c r="D235" s="118"/>
      <c r="E235" s="118"/>
      <c r="F235" s="118"/>
      <c r="G235" s="118"/>
      <c r="H235" s="118"/>
      <c r="I235" s="118"/>
    </row>
    <row r="236" spans="1:9" ht="12.75" customHeight="1" x14ac:dyDescent="0.2">
      <c r="A236" s="118"/>
      <c r="B236" s="118"/>
      <c r="C236" s="118"/>
      <c r="D236" s="118"/>
      <c r="E236" s="118"/>
      <c r="F236" s="118"/>
      <c r="G236" s="118"/>
      <c r="H236" s="118"/>
      <c r="I236" s="118"/>
    </row>
    <row r="237" spans="1:9" ht="12.75" customHeight="1" x14ac:dyDescent="0.2">
      <c r="A237" s="118"/>
      <c r="B237" s="118"/>
      <c r="C237" s="118"/>
      <c r="D237" s="118"/>
      <c r="E237" s="118"/>
      <c r="F237" s="118"/>
      <c r="G237" s="118"/>
      <c r="H237" s="118"/>
      <c r="I237" s="118"/>
    </row>
    <row r="238" spans="1:9" ht="12.75" customHeight="1" x14ac:dyDescent="0.2">
      <c r="A238" s="118"/>
      <c r="B238" s="118"/>
      <c r="C238" s="118"/>
      <c r="D238" s="118"/>
      <c r="E238" s="118"/>
      <c r="F238" s="118"/>
      <c r="G238" s="118"/>
      <c r="H238" s="118"/>
      <c r="I238" s="118"/>
    </row>
    <row r="239" spans="1:9" ht="12.75" customHeight="1" x14ac:dyDescent="0.2">
      <c r="A239" s="118"/>
      <c r="B239" s="118"/>
      <c r="C239" s="118"/>
      <c r="D239" s="118"/>
      <c r="E239" s="118"/>
      <c r="F239" s="118"/>
      <c r="G239" s="118"/>
      <c r="H239" s="118"/>
      <c r="I239" s="118"/>
    </row>
    <row r="240" spans="1:9" ht="12.75" customHeight="1" x14ac:dyDescent="0.2">
      <c r="A240" s="118"/>
      <c r="B240" s="118"/>
      <c r="C240" s="118"/>
      <c r="D240" s="118"/>
      <c r="E240" s="118"/>
      <c r="F240" s="118"/>
      <c r="G240" s="118"/>
      <c r="H240" s="118"/>
      <c r="I240" s="118"/>
    </row>
    <row r="241" spans="1:9" ht="12.75" customHeight="1" x14ac:dyDescent="0.2">
      <c r="A241" s="118"/>
      <c r="B241" s="118"/>
      <c r="C241" s="118"/>
      <c r="D241" s="118"/>
      <c r="E241" s="118"/>
      <c r="F241" s="118"/>
      <c r="G241" s="118"/>
      <c r="H241" s="118"/>
      <c r="I241" s="118"/>
    </row>
    <row r="242" spans="1:9" ht="12.75" customHeight="1" x14ac:dyDescent="0.2">
      <c r="A242" s="118"/>
      <c r="B242" s="118"/>
      <c r="C242" s="118"/>
      <c r="D242" s="118"/>
      <c r="E242" s="118"/>
      <c r="F242" s="118"/>
      <c r="G242" s="118"/>
      <c r="H242" s="118"/>
      <c r="I242" s="118"/>
    </row>
    <row r="243" spans="1:9" ht="12.75" customHeight="1" x14ac:dyDescent="0.2">
      <c r="A243" s="118"/>
      <c r="B243" s="118"/>
      <c r="C243" s="118"/>
      <c r="D243" s="118"/>
      <c r="E243" s="118"/>
      <c r="F243" s="118"/>
      <c r="G243" s="118"/>
      <c r="H243" s="118"/>
      <c r="I243" s="118"/>
    </row>
    <row r="244" spans="1:9" ht="12.75" customHeight="1" x14ac:dyDescent="0.2">
      <c r="A244" s="118"/>
      <c r="B244" s="118"/>
      <c r="C244" s="118"/>
      <c r="D244" s="118"/>
      <c r="E244" s="118"/>
      <c r="F244" s="118"/>
      <c r="G244" s="118"/>
      <c r="H244" s="118"/>
      <c r="I244" s="118"/>
    </row>
    <row r="245" spans="1:9" ht="12.75" customHeight="1" x14ac:dyDescent="0.2">
      <c r="A245" s="118"/>
      <c r="B245" s="118"/>
      <c r="C245" s="118"/>
      <c r="D245" s="118"/>
      <c r="E245" s="118"/>
      <c r="F245" s="118"/>
      <c r="G245" s="118"/>
      <c r="H245" s="118"/>
      <c r="I245" s="118"/>
    </row>
    <row r="246" spans="1:9" ht="12.75" customHeight="1" x14ac:dyDescent="0.2">
      <c r="A246" s="118"/>
      <c r="B246" s="118"/>
      <c r="C246" s="118"/>
      <c r="D246" s="118"/>
      <c r="E246" s="118"/>
      <c r="F246" s="118"/>
      <c r="G246" s="118"/>
      <c r="H246" s="118"/>
      <c r="I246" s="118"/>
    </row>
    <row r="247" spans="1:9" ht="12.75" customHeight="1" x14ac:dyDescent="0.2">
      <c r="A247" s="118"/>
      <c r="B247" s="118"/>
      <c r="C247" s="118"/>
      <c r="D247" s="118"/>
      <c r="E247" s="118"/>
      <c r="F247" s="118"/>
      <c r="G247" s="118"/>
      <c r="H247" s="118"/>
      <c r="I247" s="118"/>
    </row>
    <row r="248" spans="1:9" ht="12.75" customHeight="1" x14ac:dyDescent="0.2">
      <c r="A248" s="118"/>
      <c r="B248" s="118"/>
      <c r="C248" s="118"/>
      <c r="D248" s="118"/>
      <c r="E248" s="118"/>
      <c r="F248" s="118"/>
      <c r="G248" s="118"/>
      <c r="H248" s="118"/>
      <c r="I248" s="118"/>
    </row>
    <row r="249" spans="1:9" ht="12.75" customHeight="1" x14ac:dyDescent="0.2">
      <c r="A249" s="118"/>
      <c r="B249" s="118"/>
      <c r="C249" s="118"/>
      <c r="D249" s="118"/>
      <c r="E249" s="118"/>
      <c r="F249" s="118"/>
      <c r="G249" s="118"/>
      <c r="H249" s="118"/>
      <c r="I249" s="118"/>
    </row>
    <row r="250" spans="1:9" ht="12.75" customHeight="1" x14ac:dyDescent="0.2">
      <c r="A250" s="118"/>
      <c r="B250" s="118"/>
      <c r="C250" s="118"/>
      <c r="D250" s="118"/>
      <c r="E250" s="118"/>
      <c r="F250" s="118"/>
      <c r="G250" s="118"/>
      <c r="H250" s="118"/>
      <c r="I250" s="118"/>
    </row>
    <row r="251" spans="1:9" ht="12.75" customHeight="1" x14ac:dyDescent="0.2">
      <c r="A251" s="118"/>
      <c r="B251" s="118"/>
      <c r="C251" s="118"/>
      <c r="D251" s="118"/>
      <c r="E251" s="118"/>
      <c r="F251" s="118"/>
      <c r="G251" s="118"/>
      <c r="H251" s="118"/>
      <c r="I251" s="118"/>
    </row>
    <row r="252" spans="1:9" ht="12.75" customHeight="1" x14ac:dyDescent="0.2">
      <c r="A252" s="118"/>
      <c r="B252" s="118"/>
      <c r="C252" s="118"/>
      <c r="D252" s="118"/>
      <c r="E252" s="118"/>
      <c r="F252" s="118"/>
      <c r="G252" s="118"/>
      <c r="H252" s="118"/>
      <c r="I252" s="118"/>
    </row>
    <row r="253" spans="1:9" ht="12.75" customHeight="1" x14ac:dyDescent="0.2">
      <c r="A253" s="118"/>
      <c r="B253" s="118"/>
      <c r="C253" s="118"/>
      <c r="D253" s="118"/>
      <c r="E253" s="118"/>
      <c r="F253" s="118"/>
      <c r="G253" s="118"/>
      <c r="H253" s="118"/>
      <c r="I253" s="118"/>
    </row>
    <row r="254" spans="1:9" ht="12.75" customHeight="1" x14ac:dyDescent="0.2">
      <c r="A254" s="118"/>
      <c r="B254" s="118"/>
      <c r="C254" s="118"/>
      <c r="D254" s="118"/>
      <c r="E254" s="118"/>
      <c r="F254" s="118"/>
      <c r="G254" s="118"/>
      <c r="H254" s="118"/>
      <c r="I254" s="118"/>
    </row>
    <row r="255" spans="1:9" ht="12.75" customHeight="1" x14ac:dyDescent="0.2">
      <c r="A255" s="118"/>
      <c r="B255" s="118"/>
      <c r="C255" s="118"/>
      <c r="D255" s="118"/>
      <c r="E255" s="118"/>
      <c r="F255" s="118"/>
      <c r="G255" s="118"/>
      <c r="H255" s="118"/>
      <c r="I255" s="118"/>
    </row>
    <row r="256" spans="1:9" ht="12.75" customHeight="1" x14ac:dyDescent="0.2">
      <c r="A256" s="118"/>
      <c r="B256" s="118"/>
      <c r="C256" s="118"/>
      <c r="D256" s="118"/>
      <c r="E256" s="118"/>
      <c r="F256" s="118"/>
      <c r="G256" s="118"/>
      <c r="H256" s="118"/>
      <c r="I256" s="118"/>
    </row>
    <row r="257" spans="1:9" ht="12.75" customHeight="1" x14ac:dyDescent="0.2">
      <c r="A257" s="118"/>
      <c r="B257" s="118"/>
      <c r="C257" s="118"/>
      <c r="D257" s="118"/>
      <c r="E257" s="118"/>
      <c r="F257" s="118"/>
      <c r="G257" s="118"/>
      <c r="H257" s="118"/>
      <c r="I257" s="118"/>
    </row>
    <row r="258" spans="1:9" ht="12.75" customHeight="1" x14ac:dyDescent="0.2">
      <c r="A258" s="118"/>
      <c r="B258" s="118"/>
      <c r="C258" s="118"/>
      <c r="D258" s="118"/>
      <c r="E258" s="118"/>
      <c r="F258" s="118"/>
      <c r="G258" s="118"/>
      <c r="H258" s="118"/>
      <c r="I258" s="118"/>
    </row>
    <row r="259" spans="1:9" ht="12.75" customHeight="1" x14ac:dyDescent="0.2">
      <c r="A259" s="118"/>
      <c r="B259" s="118"/>
      <c r="C259" s="118"/>
      <c r="D259" s="118"/>
      <c r="E259" s="118"/>
      <c r="F259" s="118"/>
      <c r="G259" s="118"/>
      <c r="H259" s="118"/>
      <c r="I259" s="118"/>
    </row>
    <row r="260" spans="1:9" ht="12.75" customHeight="1" x14ac:dyDescent="0.2">
      <c r="A260" s="118"/>
      <c r="B260" s="118"/>
      <c r="C260" s="118"/>
      <c r="D260" s="118"/>
      <c r="E260" s="118"/>
      <c r="F260" s="118"/>
      <c r="G260" s="118"/>
      <c r="H260" s="118"/>
      <c r="I260" s="118"/>
    </row>
    <row r="261" spans="1:9" ht="12.75" customHeight="1" x14ac:dyDescent="0.2">
      <c r="A261" s="118"/>
      <c r="B261" s="118"/>
      <c r="C261" s="118"/>
      <c r="D261" s="118"/>
      <c r="E261" s="118"/>
      <c r="F261" s="118"/>
      <c r="G261" s="118"/>
      <c r="H261" s="118"/>
      <c r="I261" s="118"/>
    </row>
    <row r="262" spans="1:9" ht="12.75" customHeight="1" x14ac:dyDescent="0.2">
      <c r="A262" s="118"/>
      <c r="B262" s="118"/>
      <c r="C262" s="118"/>
      <c r="D262" s="118"/>
      <c r="E262" s="118"/>
      <c r="F262" s="118"/>
      <c r="G262" s="118"/>
      <c r="H262" s="118"/>
      <c r="I262" s="118"/>
    </row>
    <row r="263" spans="1:9" ht="12.75" customHeight="1" x14ac:dyDescent="0.2">
      <c r="A263" s="118"/>
      <c r="B263" s="118"/>
      <c r="C263" s="118"/>
      <c r="D263" s="118"/>
      <c r="E263" s="118"/>
      <c r="F263" s="118"/>
      <c r="G263" s="118"/>
      <c r="H263" s="118"/>
      <c r="I263" s="118"/>
    </row>
    <row r="264" spans="1:9" ht="12.75" customHeight="1" x14ac:dyDescent="0.2">
      <c r="A264" s="118"/>
      <c r="B264" s="118"/>
      <c r="C264" s="118"/>
      <c r="D264" s="118"/>
      <c r="E264" s="118"/>
      <c r="F264" s="118"/>
      <c r="G264" s="118"/>
      <c r="H264" s="118"/>
      <c r="I264" s="118"/>
    </row>
    <row r="265" spans="1:9" ht="12.75" customHeight="1" x14ac:dyDescent="0.2">
      <c r="A265" s="118"/>
      <c r="B265" s="118"/>
      <c r="C265" s="118"/>
      <c r="D265" s="118"/>
      <c r="E265" s="118"/>
      <c r="F265" s="118"/>
      <c r="G265" s="118"/>
      <c r="H265" s="118"/>
      <c r="I265" s="118"/>
    </row>
    <row r="266" spans="1:9" ht="12.75" customHeight="1" x14ac:dyDescent="0.2">
      <c r="A266" s="118"/>
      <c r="B266" s="118"/>
      <c r="C266" s="118"/>
      <c r="D266" s="118"/>
      <c r="E266" s="118"/>
      <c r="F266" s="118"/>
      <c r="G266" s="118"/>
      <c r="H266" s="118"/>
      <c r="I266" s="118"/>
    </row>
    <row r="267" spans="1:9" ht="12.75" customHeight="1" x14ac:dyDescent="0.2">
      <c r="A267" s="118"/>
      <c r="B267" s="118"/>
      <c r="C267" s="118"/>
      <c r="D267" s="118"/>
      <c r="E267" s="118"/>
      <c r="F267" s="118"/>
      <c r="G267" s="118"/>
      <c r="H267" s="118"/>
      <c r="I267" s="118"/>
    </row>
    <row r="268" spans="1:9" ht="12.75" customHeight="1" x14ac:dyDescent="0.2">
      <c r="A268" s="118"/>
      <c r="B268" s="118"/>
      <c r="C268" s="118"/>
      <c r="D268" s="118"/>
      <c r="E268" s="118"/>
      <c r="F268" s="118"/>
      <c r="G268" s="118"/>
      <c r="H268" s="118"/>
      <c r="I268" s="118"/>
    </row>
    <row r="269" spans="1:9" ht="12.75" customHeight="1" x14ac:dyDescent="0.2">
      <c r="A269" s="118"/>
      <c r="B269" s="118"/>
      <c r="C269" s="118"/>
      <c r="D269" s="118"/>
      <c r="E269" s="118"/>
      <c r="F269" s="118"/>
      <c r="G269" s="118"/>
      <c r="H269" s="118"/>
      <c r="I269" s="118"/>
    </row>
    <row r="270" spans="1:9" ht="12.75" customHeight="1" x14ac:dyDescent="0.2">
      <c r="A270" s="118"/>
      <c r="B270" s="118"/>
      <c r="C270" s="118"/>
      <c r="D270" s="118"/>
      <c r="E270" s="118"/>
      <c r="F270" s="118"/>
      <c r="G270" s="118"/>
      <c r="H270" s="118"/>
      <c r="I270" s="118"/>
    </row>
    <row r="271" spans="1:9" ht="12.75" customHeight="1" x14ac:dyDescent="0.2">
      <c r="A271" s="118"/>
      <c r="B271" s="118"/>
      <c r="C271" s="118"/>
      <c r="D271" s="118"/>
      <c r="E271" s="118"/>
      <c r="F271" s="118"/>
      <c r="G271" s="118"/>
      <c r="H271" s="118"/>
      <c r="I271" s="118"/>
    </row>
    <row r="272" spans="1:9" ht="12.75" customHeight="1" x14ac:dyDescent="0.2">
      <c r="A272" s="118"/>
      <c r="B272" s="118"/>
      <c r="C272" s="118"/>
      <c r="D272" s="118"/>
      <c r="E272" s="118"/>
      <c r="F272" s="118"/>
      <c r="G272" s="118"/>
      <c r="H272" s="118"/>
      <c r="I272" s="118"/>
    </row>
    <row r="273" spans="1:9" ht="12.75" customHeight="1" x14ac:dyDescent="0.2">
      <c r="A273" s="118"/>
      <c r="B273" s="118"/>
      <c r="C273" s="118"/>
      <c r="D273" s="118"/>
      <c r="E273" s="118"/>
      <c r="F273" s="118"/>
      <c r="G273" s="118"/>
      <c r="H273" s="118"/>
      <c r="I273" s="118"/>
    </row>
    <row r="274" spans="1:9" ht="12.75" customHeight="1" x14ac:dyDescent="0.2">
      <c r="A274" s="118"/>
      <c r="B274" s="118"/>
      <c r="C274" s="118"/>
      <c r="D274" s="118"/>
      <c r="E274" s="118"/>
      <c r="F274" s="118"/>
      <c r="G274" s="118"/>
      <c r="H274" s="118"/>
      <c r="I274" s="118"/>
    </row>
    <row r="275" spans="1:9" ht="12.75" customHeight="1" x14ac:dyDescent="0.2">
      <c r="A275" s="118"/>
      <c r="B275" s="118"/>
      <c r="C275" s="118"/>
      <c r="D275" s="118"/>
      <c r="E275" s="118"/>
      <c r="F275" s="118"/>
      <c r="G275" s="118"/>
      <c r="H275" s="118"/>
      <c r="I275" s="118"/>
    </row>
    <row r="276" spans="1:9" ht="12.75" customHeight="1" x14ac:dyDescent="0.2">
      <c r="A276" s="118"/>
      <c r="B276" s="118"/>
      <c r="C276" s="118"/>
      <c r="D276" s="118"/>
      <c r="E276" s="118"/>
      <c r="F276" s="118"/>
      <c r="G276" s="118"/>
      <c r="H276" s="118"/>
      <c r="I276" s="118"/>
    </row>
    <row r="277" spans="1:9" ht="12.75" customHeight="1" x14ac:dyDescent="0.2">
      <c r="A277" s="118"/>
      <c r="B277" s="118"/>
      <c r="C277" s="118"/>
      <c r="D277" s="118"/>
      <c r="E277" s="118"/>
      <c r="F277" s="118"/>
      <c r="G277" s="118"/>
      <c r="H277" s="118"/>
      <c r="I277" s="118"/>
    </row>
    <row r="278" spans="1:9" ht="12.75" customHeight="1" x14ac:dyDescent="0.2">
      <c r="A278" s="118"/>
      <c r="B278" s="118"/>
      <c r="C278" s="118"/>
      <c r="D278" s="118"/>
      <c r="E278" s="118"/>
      <c r="F278" s="118"/>
      <c r="G278" s="118"/>
      <c r="H278" s="118"/>
      <c r="I278" s="118"/>
    </row>
    <row r="279" spans="1:9" ht="12.75" customHeight="1" x14ac:dyDescent="0.2">
      <c r="A279" s="118"/>
      <c r="B279" s="118"/>
      <c r="C279" s="118"/>
      <c r="D279" s="118"/>
      <c r="E279" s="118"/>
      <c r="F279" s="118"/>
      <c r="G279" s="118"/>
      <c r="H279" s="118"/>
      <c r="I279" s="118"/>
    </row>
    <row r="280" spans="1:9" ht="12.75" customHeight="1" x14ac:dyDescent="0.2">
      <c r="A280" s="118"/>
      <c r="B280" s="118"/>
      <c r="C280" s="118"/>
      <c r="D280" s="118"/>
      <c r="E280" s="118"/>
      <c r="F280" s="118"/>
      <c r="G280" s="118"/>
      <c r="H280" s="118"/>
      <c r="I280" s="118"/>
    </row>
    <row r="281" spans="1:9" ht="12.75" customHeight="1" x14ac:dyDescent="0.2">
      <c r="A281" s="118"/>
      <c r="B281" s="118"/>
      <c r="C281" s="118"/>
      <c r="D281" s="118"/>
      <c r="E281" s="118"/>
      <c r="F281" s="118"/>
      <c r="G281" s="118"/>
      <c r="H281" s="118"/>
      <c r="I281" s="118"/>
    </row>
    <row r="282" spans="1:9" ht="12.75" customHeight="1" x14ac:dyDescent="0.2">
      <c r="A282" s="118"/>
      <c r="B282" s="118"/>
      <c r="C282" s="118"/>
      <c r="D282" s="118"/>
      <c r="E282" s="118"/>
      <c r="F282" s="118"/>
      <c r="G282" s="118"/>
      <c r="H282" s="118"/>
      <c r="I282" s="118"/>
    </row>
    <row r="283" spans="1:9" ht="12.75" customHeight="1" x14ac:dyDescent="0.2">
      <c r="A283" s="118"/>
      <c r="B283" s="118"/>
      <c r="C283" s="118"/>
      <c r="D283" s="118"/>
      <c r="E283" s="118"/>
      <c r="F283" s="118"/>
      <c r="G283" s="118"/>
      <c r="H283" s="118"/>
      <c r="I283" s="118"/>
    </row>
    <row r="284" spans="1:9" ht="12.75" customHeight="1" x14ac:dyDescent="0.2">
      <c r="A284" s="118"/>
      <c r="B284" s="118"/>
      <c r="C284" s="118"/>
      <c r="D284" s="118"/>
      <c r="E284" s="118"/>
      <c r="F284" s="118"/>
      <c r="G284" s="118"/>
      <c r="H284" s="118"/>
      <c r="I284" s="118"/>
    </row>
    <row r="285" spans="1:9" ht="12.75" customHeight="1" x14ac:dyDescent="0.2">
      <c r="A285" s="118"/>
      <c r="B285" s="118"/>
      <c r="C285" s="118"/>
      <c r="D285" s="118"/>
      <c r="E285" s="118"/>
      <c r="F285" s="118"/>
      <c r="G285" s="118"/>
      <c r="H285" s="118"/>
      <c r="I285" s="118"/>
    </row>
    <row r="286" spans="1:9" ht="12.75" customHeight="1" x14ac:dyDescent="0.2">
      <c r="A286" s="118"/>
      <c r="B286" s="118"/>
      <c r="C286" s="118"/>
      <c r="D286" s="118"/>
      <c r="E286" s="118"/>
      <c r="F286" s="118"/>
      <c r="G286" s="118"/>
      <c r="H286" s="118"/>
      <c r="I286" s="118"/>
    </row>
    <row r="287" spans="1:9" ht="12.75" customHeight="1" x14ac:dyDescent="0.2">
      <c r="A287" s="118"/>
      <c r="B287" s="118"/>
      <c r="C287" s="118"/>
      <c r="D287" s="118"/>
      <c r="E287" s="118"/>
      <c r="F287" s="118"/>
      <c r="G287" s="118"/>
      <c r="H287" s="118"/>
      <c r="I287" s="118"/>
    </row>
    <row r="288" spans="1:9" ht="12.75" customHeight="1" x14ac:dyDescent="0.2">
      <c r="A288" s="118"/>
      <c r="B288" s="118"/>
      <c r="C288" s="118"/>
      <c r="D288" s="118"/>
      <c r="E288" s="118"/>
      <c r="F288" s="118"/>
      <c r="G288" s="118"/>
      <c r="H288" s="118"/>
      <c r="I288" s="118"/>
    </row>
    <row r="289" spans="1:9" ht="12.75" customHeight="1" x14ac:dyDescent="0.2">
      <c r="A289" s="118"/>
      <c r="B289" s="118"/>
      <c r="C289" s="118"/>
      <c r="D289" s="118"/>
      <c r="E289" s="118"/>
      <c r="F289" s="118"/>
      <c r="G289" s="118"/>
      <c r="H289" s="118"/>
      <c r="I289" s="118"/>
    </row>
    <row r="290" spans="1:9" ht="12.75" customHeight="1" x14ac:dyDescent="0.2">
      <c r="A290" s="118"/>
      <c r="B290" s="118"/>
      <c r="C290" s="118"/>
      <c r="D290" s="118"/>
      <c r="E290" s="118"/>
      <c r="F290" s="118"/>
      <c r="G290" s="118"/>
      <c r="H290" s="118"/>
      <c r="I290" s="118"/>
    </row>
    <row r="291" spans="1:9" ht="12.75" customHeight="1" x14ac:dyDescent="0.2">
      <c r="A291" s="118"/>
      <c r="B291" s="118"/>
      <c r="C291" s="118"/>
      <c r="D291" s="118"/>
      <c r="E291" s="118"/>
      <c r="F291" s="118"/>
      <c r="G291" s="118"/>
      <c r="H291" s="118"/>
      <c r="I291" s="118"/>
    </row>
    <row r="292" spans="1:9" ht="12.75" customHeight="1" x14ac:dyDescent="0.2">
      <c r="A292" s="118"/>
      <c r="B292" s="118"/>
      <c r="C292" s="118"/>
      <c r="D292" s="118"/>
      <c r="E292" s="118"/>
      <c r="F292" s="118"/>
      <c r="G292" s="118"/>
      <c r="H292" s="118"/>
      <c r="I292" s="118"/>
    </row>
    <row r="293" spans="1:9" ht="12.75" customHeight="1" x14ac:dyDescent="0.2">
      <c r="A293" s="118"/>
      <c r="B293" s="118"/>
      <c r="C293" s="118"/>
      <c r="D293" s="118"/>
      <c r="E293" s="118"/>
      <c r="F293" s="118"/>
      <c r="G293" s="118"/>
      <c r="H293" s="118"/>
      <c r="I293" s="118"/>
    </row>
    <row r="294" spans="1:9" ht="12.75" customHeight="1" x14ac:dyDescent="0.2">
      <c r="A294" s="118"/>
      <c r="B294" s="118"/>
      <c r="C294" s="118"/>
      <c r="D294" s="118"/>
      <c r="E294" s="118"/>
      <c r="F294" s="118"/>
      <c r="G294" s="118"/>
      <c r="H294" s="118"/>
      <c r="I294" s="118"/>
    </row>
    <row r="295" spans="1:9" ht="12.75" customHeight="1" x14ac:dyDescent="0.2">
      <c r="A295" s="118"/>
      <c r="B295" s="118"/>
      <c r="C295" s="118"/>
      <c r="D295" s="118"/>
      <c r="E295" s="118"/>
      <c r="F295" s="118"/>
      <c r="G295" s="118"/>
      <c r="H295" s="118"/>
      <c r="I295" s="118"/>
    </row>
    <row r="296" spans="1:9" ht="12.75" customHeight="1" x14ac:dyDescent="0.2">
      <c r="A296" s="118"/>
      <c r="B296" s="118"/>
      <c r="C296" s="118"/>
      <c r="D296" s="118"/>
      <c r="E296" s="118"/>
      <c r="F296" s="118"/>
      <c r="G296" s="118"/>
      <c r="H296" s="118"/>
      <c r="I296" s="118"/>
    </row>
    <row r="297" spans="1:9" ht="12.75" customHeight="1" x14ac:dyDescent="0.2">
      <c r="A297" s="118"/>
      <c r="B297" s="118"/>
      <c r="C297" s="118"/>
      <c r="D297" s="118"/>
      <c r="E297" s="118"/>
      <c r="F297" s="118"/>
      <c r="G297" s="118"/>
      <c r="H297" s="118"/>
      <c r="I297" s="118"/>
    </row>
    <row r="298" spans="1:9" ht="12.75" customHeight="1" x14ac:dyDescent="0.2">
      <c r="A298" s="118"/>
      <c r="B298" s="118"/>
      <c r="C298" s="118"/>
      <c r="D298" s="118"/>
      <c r="E298" s="118"/>
      <c r="F298" s="118"/>
      <c r="G298" s="118"/>
      <c r="H298" s="118"/>
      <c r="I298" s="118"/>
    </row>
    <row r="299" spans="1:9" ht="12.75" customHeight="1" x14ac:dyDescent="0.2">
      <c r="A299" s="118"/>
      <c r="B299" s="118"/>
      <c r="C299" s="118"/>
      <c r="D299" s="118"/>
      <c r="E299" s="118"/>
      <c r="F299" s="118"/>
      <c r="G299" s="118"/>
      <c r="H299" s="118"/>
      <c r="I299" s="118"/>
    </row>
    <row r="300" spans="1:9" ht="12.75" customHeight="1" x14ac:dyDescent="0.2">
      <c r="A300" s="118"/>
      <c r="B300" s="118"/>
      <c r="C300" s="118"/>
      <c r="D300" s="118"/>
      <c r="E300" s="118"/>
      <c r="F300" s="118"/>
      <c r="G300" s="118"/>
      <c r="H300" s="118"/>
      <c r="I300" s="118"/>
    </row>
    <row r="301" spans="1:9" ht="12.75" customHeight="1" x14ac:dyDescent="0.2">
      <c r="A301" s="118"/>
      <c r="B301" s="118"/>
      <c r="C301" s="118"/>
      <c r="D301" s="118"/>
      <c r="E301" s="118"/>
      <c r="F301" s="118"/>
      <c r="G301" s="118"/>
      <c r="H301" s="118"/>
      <c r="I301" s="118"/>
    </row>
    <row r="302" spans="1:9" ht="12.75" customHeight="1" x14ac:dyDescent="0.2">
      <c r="A302" s="118"/>
      <c r="B302" s="118"/>
      <c r="C302" s="118"/>
      <c r="D302" s="118"/>
      <c r="E302" s="118"/>
      <c r="F302" s="118"/>
      <c r="G302" s="118"/>
      <c r="H302" s="118"/>
      <c r="I302" s="118"/>
    </row>
    <row r="303" spans="1:9" ht="12.75" customHeight="1" x14ac:dyDescent="0.2">
      <c r="A303" s="118"/>
      <c r="B303" s="118"/>
      <c r="C303" s="118"/>
      <c r="D303" s="118"/>
      <c r="E303" s="118"/>
      <c r="F303" s="118"/>
      <c r="G303" s="118"/>
      <c r="H303" s="118"/>
      <c r="I303" s="118"/>
    </row>
    <row r="304" spans="1:9" ht="12.75" customHeight="1" x14ac:dyDescent="0.2">
      <c r="A304" s="118"/>
      <c r="B304" s="118"/>
      <c r="C304" s="118"/>
      <c r="D304" s="118"/>
      <c r="E304" s="118"/>
      <c r="F304" s="118"/>
      <c r="G304" s="118"/>
      <c r="H304" s="118"/>
      <c r="I304" s="118"/>
    </row>
    <row r="305" spans="1:9" ht="12.75" customHeight="1" x14ac:dyDescent="0.2">
      <c r="A305" s="118"/>
      <c r="B305" s="118"/>
      <c r="C305" s="118"/>
      <c r="D305" s="118"/>
      <c r="E305" s="118"/>
      <c r="F305" s="118"/>
      <c r="G305" s="118"/>
      <c r="H305" s="118"/>
      <c r="I305" s="118"/>
    </row>
    <row r="306" spans="1:9" ht="12.75" customHeight="1" x14ac:dyDescent="0.2">
      <c r="A306" s="118"/>
      <c r="B306" s="118"/>
      <c r="C306" s="118"/>
      <c r="D306" s="118"/>
      <c r="E306" s="118"/>
      <c r="F306" s="118"/>
      <c r="G306" s="118"/>
      <c r="H306" s="118"/>
      <c r="I306" s="118"/>
    </row>
    <row r="307" spans="1:9" ht="12.75" customHeight="1" x14ac:dyDescent="0.2">
      <c r="A307" s="118"/>
      <c r="B307" s="118"/>
      <c r="C307" s="118"/>
      <c r="D307" s="118"/>
      <c r="E307" s="118"/>
      <c r="F307" s="118"/>
      <c r="G307" s="118"/>
      <c r="H307" s="118"/>
      <c r="I307" s="118"/>
    </row>
    <row r="308" spans="1:9" ht="12.75" customHeight="1" x14ac:dyDescent="0.2">
      <c r="A308" s="118"/>
      <c r="B308" s="118"/>
      <c r="C308" s="118"/>
      <c r="D308" s="118"/>
      <c r="E308" s="118"/>
      <c r="F308" s="118"/>
      <c r="G308" s="118"/>
      <c r="H308" s="118"/>
      <c r="I308" s="118"/>
    </row>
    <row r="309" spans="1:9" ht="12.75" customHeight="1" x14ac:dyDescent="0.2">
      <c r="A309" s="118"/>
      <c r="B309" s="118"/>
      <c r="C309" s="118"/>
      <c r="D309" s="118"/>
      <c r="E309" s="118"/>
      <c r="F309" s="118"/>
      <c r="G309" s="118"/>
      <c r="H309" s="118"/>
      <c r="I309" s="118"/>
    </row>
    <row r="310" spans="1:9" ht="12.75" customHeight="1" x14ac:dyDescent="0.2">
      <c r="A310" s="118"/>
      <c r="B310" s="118"/>
      <c r="C310" s="118"/>
      <c r="D310" s="118"/>
      <c r="E310" s="118"/>
      <c r="F310" s="118"/>
      <c r="G310" s="118"/>
      <c r="H310" s="118"/>
      <c r="I310" s="118"/>
    </row>
    <row r="311" spans="1:9" ht="12.75" customHeight="1" x14ac:dyDescent="0.2">
      <c r="A311" s="118"/>
      <c r="B311" s="118"/>
      <c r="C311" s="118"/>
      <c r="D311" s="118"/>
      <c r="E311" s="118"/>
      <c r="F311" s="118"/>
      <c r="G311" s="118"/>
      <c r="H311" s="118"/>
      <c r="I311" s="118"/>
    </row>
    <row r="312" spans="1:9" ht="12.75" customHeight="1" x14ac:dyDescent="0.2">
      <c r="A312" s="118"/>
      <c r="B312" s="118"/>
      <c r="C312" s="118"/>
      <c r="D312" s="118"/>
      <c r="E312" s="118"/>
      <c r="F312" s="118"/>
      <c r="G312" s="118"/>
      <c r="H312" s="118"/>
      <c r="I312" s="118"/>
    </row>
    <row r="313" spans="1:9" ht="12.75" customHeight="1" x14ac:dyDescent="0.2">
      <c r="A313" s="118"/>
      <c r="B313" s="118"/>
      <c r="C313" s="118"/>
      <c r="D313" s="118"/>
      <c r="E313" s="118"/>
      <c r="F313" s="118"/>
      <c r="G313" s="118"/>
      <c r="H313" s="118"/>
      <c r="I313" s="118"/>
    </row>
    <row r="314" spans="1:9" ht="12.75" customHeight="1" x14ac:dyDescent="0.2">
      <c r="A314" s="118"/>
      <c r="B314" s="118"/>
      <c r="C314" s="118"/>
      <c r="D314" s="118"/>
      <c r="E314" s="118"/>
      <c r="F314" s="118"/>
      <c r="G314" s="118"/>
      <c r="H314" s="118"/>
      <c r="I314" s="118"/>
    </row>
    <row r="315" spans="1:9" ht="12.75" customHeight="1" x14ac:dyDescent="0.2">
      <c r="A315" s="118"/>
      <c r="B315" s="118"/>
      <c r="C315" s="118"/>
      <c r="D315" s="118"/>
      <c r="E315" s="118"/>
      <c r="F315" s="118"/>
      <c r="G315" s="118"/>
      <c r="H315" s="118"/>
      <c r="I315" s="118"/>
    </row>
    <row r="316" spans="1:9" ht="12.75" customHeight="1" x14ac:dyDescent="0.2">
      <c r="A316" s="118"/>
      <c r="B316" s="118"/>
      <c r="C316" s="118"/>
      <c r="D316" s="118"/>
      <c r="E316" s="118"/>
      <c r="F316" s="118"/>
      <c r="G316" s="118"/>
      <c r="H316" s="118"/>
      <c r="I316" s="118"/>
    </row>
    <row r="317" spans="1:9" ht="12.75" customHeight="1" x14ac:dyDescent="0.2">
      <c r="A317" s="118"/>
      <c r="B317" s="118"/>
      <c r="C317" s="118"/>
      <c r="D317" s="118"/>
      <c r="E317" s="118"/>
      <c r="F317" s="118"/>
      <c r="G317" s="118"/>
      <c r="H317" s="118"/>
      <c r="I317" s="118"/>
    </row>
    <row r="318" spans="1:9" ht="12.75" customHeight="1" x14ac:dyDescent="0.2">
      <c r="A318" s="118"/>
      <c r="B318" s="118"/>
      <c r="C318" s="118"/>
      <c r="D318" s="118"/>
      <c r="E318" s="118"/>
      <c r="F318" s="118"/>
      <c r="G318" s="118"/>
      <c r="H318" s="118"/>
      <c r="I318" s="118"/>
    </row>
    <row r="319" spans="1:9" ht="12.75" customHeight="1" x14ac:dyDescent="0.2">
      <c r="A319" s="118"/>
      <c r="B319" s="118"/>
      <c r="C319" s="118"/>
      <c r="D319" s="118"/>
      <c r="E319" s="118"/>
      <c r="F319" s="118"/>
      <c r="G319" s="118"/>
      <c r="H319" s="118"/>
      <c r="I319" s="118"/>
    </row>
    <row r="320" spans="1:9" ht="12.75" customHeight="1" x14ac:dyDescent="0.2">
      <c r="A320" s="118"/>
      <c r="B320" s="118"/>
      <c r="C320" s="118"/>
      <c r="D320" s="118"/>
      <c r="E320" s="118"/>
      <c r="F320" s="118"/>
      <c r="G320" s="118"/>
      <c r="H320" s="118"/>
      <c r="I320" s="118"/>
    </row>
    <row r="321" spans="1:9" ht="12.75" customHeight="1" x14ac:dyDescent="0.2">
      <c r="A321" s="118"/>
      <c r="B321" s="118"/>
      <c r="C321" s="118"/>
      <c r="D321" s="118"/>
      <c r="E321" s="118"/>
      <c r="F321" s="118"/>
      <c r="G321" s="118"/>
      <c r="H321" s="118"/>
      <c r="I321" s="118"/>
    </row>
    <row r="322" spans="1:9" ht="12.75" customHeight="1" x14ac:dyDescent="0.2">
      <c r="A322" s="118"/>
      <c r="B322" s="118"/>
      <c r="C322" s="118"/>
      <c r="D322" s="118"/>
      <c r="E322" s="118"/>
      <c r="F322" s="118"/>
      <c r="G322" s="118"/>
      <c r="H322" s="118"/>
      <c r="I322" s="118"/>
    </row>
    <row r="323" spans="1:9" ht="12.75" customHeight="1" x14ac:dyDescent="0.2">
      <c r="A323" s="118"/>
      <c r="B323" s="118"/>
      <c r="C323" s="118"/>
      <c r="D323" s="118"/>
      <c r="E323" s="118"/>
      <c r="F323" s="118"/>
      <c r="G323" s="118"/>
      <c r="H323" s="118"/>
      <c r="I323" s="118"/>
    </row>
    <row r="324" spans="1:9" ht="12.75" customHeight="1" x14ac:dyDescent="0.2">
      <c r="A324" s="118"/>
      <c r="B324" s="118"/>
      <c r="C324" s="118"/>
      <c r="D324" s="118"/>
      <c r="E324" s="118"/>
      <c r="F324" s="118"/>
      <c r="G324" s="118"/>
      <c r="H324" s="118"/>
      <c r="I324" s="118"/>
    </row>
    <row r="325" spans="1:9" ht="12.75" customHeight="1" x14ac:dyDescent="0.2">
      <c r="A325" s="118"/>
      <c r="B325" s="118"/>
      <c r="C325" s="118"/>
      <c r="D325" s="118"/>
      <c r="E325" s="118"/>
      <c r="F325" s="118"/>
      <c r="G325" s="118"/>
      <c r="H325" s="118"/>
      <c r="I325" s="118"/>
    </row>
    <row r="326" spans="1:9" ht="12.75" customHeight="1" x14ac:dyDescent="0.2">
      <c r="A326" s="118"/>
      <c r="B326" s="118"/>
      <c r="C326" s="118"/>
      <c r="D326" s="118"/>
      <c r="E326" s="118"/>
      <c r="F326" s="118"/>
      <c r="G326" s="118"/>
      <c r="H326" s="118"/>
      <c r="I326" s="118"/>
    </row>
    <row r="327" spans="1:9" ht="12.75" customHeight="1" x14ac:dyDescent="0.2">
      <c r="A327" s="118"/>
      <c r="B327" s="118"/>
      <c r="C327" s="118"/>
      <c r="D327" s="118"/>
      <c r="E327" s="118"/>
      <c r="F327" s="118"/>
      <c r="G327" s="118"/>
      <c r="H327" s="118"/>
      <c r="I327" s="118"/>
    </row>
    <row r="328" spans="1:9" ht="12.75" customHeight="1" x14ac:dyDescent="0.2">
      <c r="A328" s="118"/>
      <c r="B328" s="118"/>
      <c r="C328" s="118"/>
      <c r="D328" s="118"/>
      <c r="E328" s="118"/>
      <c r="F328" s="118"/>
      <c r="G328" s="118"/>
      <c r="H328" s="118"/>
      <c r="I328" s="118"/>
    </row>
    <row r="329" spans="1:9" ht="12.75" customHeight="1" x14ac:dyDescent="0.2">
      <c r="A329" s="118"/>
      <c r="B329" s="118"/>
      <c r="C329" s="118"/>
      <c r="D329" s="118"/>
      <c r="E329" s="118"/>
      <c r="F329" s="118"/>
      <c r="G329" s="118"/>
      <c r="H329" s="118"/>
      <c r="I329" s="118"/>
    </row>
    <row r="330" spans="1:9" ht="12.75" customHeight="1" x14ac:dyDescent="0.2">
      <c r="A330" s="118"/>
      <c r="B330" s="118"/>
      <c r="C330" s="118"/>
      <c r="D330" s="118"/>
      <c r="E330" s="118"/>
      <c r="F330" s="118"/>
      <c r="G330" s="118"/>
      <c r="H330" s="118"/>
      <c r="I330" s="118"/>
    </row>
    <row r="331" spans="1:9" ht="12.75" customHeight="1" x14ac:dyDescent="0.2">
      <c r="A331" s="118"/>
      <c r="B331" s="118"/>
      <c r="C331" s="118"/>
      <c r="D331" s="118"/>
      <c r="E331" s="118"/>
      <c r="F331" s="118"/>
      <c r="G331" s="118"/>
      <c r="H331" s="118"/>
      <c r="I331" s="118"/>
    </row>
    <row r="332" spans="1:9" ht="12.75" customHeight="1" x14ac:dyDescent="0.2">
      <c r="A332" s="118"/>
      <c r="B332" s="118"/>
      <c r="C332" s="118"/>
      <c r="D332" s="118"/>
      <c r="E332" s="118"/>
      <c r="F332" s="118"/>
      <c r="G332" s="118"/>
      <c r="H332" s="118"/>
      <c r="I332" s="118"/>
    </row>
    <row r="333" spans="1:9" ht="12.75" customHeight="1" x14ac:dyDescent="0.2">
      <c r="A333" s="118"/>
      <c r="B333" s="118"/>
      <c r="C333" s="118"/>
      <c r="D333" s="118"/>
      <c r="E333" s="118"/>
      <c r="F333" s="118"/>
      <c r="G333" s="118"/>
      <c r="H333" s="118"/>
      <c r="I333" s="118"/>
    </row>
    <row r="334" spans="1:9" ht="12.75" customHeight="1" x14ac:dyDescent="0.2">
      <c r="A334" s="118"/>
      <c r="B334" s="118"/>
      <c r="C334" s="118"/>
      <c r="D334" s="118"/>
      <c r="E334" s="118"/>
      <c r="F334" s="118"/>
      <c r="G334" s="118"/>
      <c r="H334" s="118"/>
      <c r="I334" s="118"/>
    </row>
    <row r="335" spans="1:9" ht="12.75" customHeight="1" x14ac:dyDescent="0.2">
      <c r="A335" s="118"/>
      <c r="B335" s="118"/>
      <c r="C335" s="118"/>
      <c r="D335" s="118"/>
      <c r="E335" s="118"/>
      <c r="F335" s="118"/>
      <c r="G335" s="118"/>
      <c r="H335" s="118"/>
      <c r="I335" s="118"/>
    </row>
    <row r="336" spans="1:9" ht="12.75" customHeight="1" x14ac:dyDescent="0.2">
      <c r="A336" s="118"/>
      <c r="B336" s="118"/>
      <c r="C336" s="118"/>
      <c r="D336" s="118"/>
      <c r="E336" s="118"/>
      <c r="F336" s="118"/>
      <c r="G336" s="118"/>
      <c r="H336" s="118"/>
      <c r="I336" s="118"/>
    </row>
    <row r="337" spans="1:9" ht="12.75" customHeight="1" x14ac:dyDescent="0.2">
      <c r="A337" s="118"/>
      <c r="B337" s="118"/>
      <c r="C337" s="118"/>
      <c r="D337" s="118"/>
      <c r="E337" s="118"/>
      <c r="F337" s="118"/>
      <c r="G337" s="118"/>
      <c r="H337" s="118"/>
      <c r="I337" s="118"/>
    </row>
    <row r="338" spans="1:9" ht="12.75" customHeight="1" x14ac:dyDescent="0.2">
      <c r="A338" s="118"/>
      <c r="B338" s="118"/>
      <c r="C338" s="118"/>
      <c r="D338" s="118"/>
      <c r="E338" s="118"/>
      <c r="F338" s="118"/>
      <c r="G338" s="118"/>
      <c r="H338" s="118"/>
      <c r="I338" s="118"/>
    </row>
    <row r="339" spans="1:9" ht="12.75" customHeight="1" x14ac:dyDescent="0.2">
      <c r="A339" s="118"/>
      <c r="B339" s="118"/>
      <c r="C339" s="118"/>
      <c r="D339" s="118"/>
      <c r="E339" s="118"/>
      <c r="F339" s="118"/>
      <c r="G339" s="118"/>
      <c r="H339" s="118"/>
      <c r="I339" s="118"/>
    </row>
    <row r="340" spans="1:9" ht="12.75" customHeight="1" x14ac:dyDescent="0.2">
      <c r="A340" s="118"/>
      <c r="B340" s="118"/>
      <c r="C340" s="118"/>
      <c r="D340" s="118"/>
      <c r="E340" s="118"/>
      <c r="F340" s="118"/>
      <c r="G340" s="118"/>
      <c r="H340" s="118"/>
      <c r="I340" s="118"/>
    </row>
    <row r="341" spans="1:9" ht="12.75" customHeight="1" x14ac:dyDescent="0.2">
      <c r="A341" s="118"/>
      <c r="B341" s="118"/>
      <c r="C341" s="118"/>
      <c r="D341" s="118"/>
      <c r="E341" s="118"/>
      <c r="F341" s="118"/>
      <c r="G341" s="118"/>
      <c r="H341" s="118"/>
      <c r="I341" s="118"/>
    </row>
    <row r="342" spans="1:9" ht="12.75" customHeight="1" x14ac:dyDescent="0.2">
      <c r="A342" s="118"/>
      <c r="B342" s="118"/>
      <c r="C342" s="118"/>
      <c r="D342" s="118"/>
      <c r="E342" s="118"/>
      <c r="F342" s="118"/>
      <c r="G342" s="118"/>
      <c r="H342" s="118"/>
      <c r="I342" s="118"/>
    </row>
    <row r="343" spans="1:9" ht="12.75" customHeight="1" x14ac:dyDescent="0.2">
      <c r="A343" s="118"/>
      <c r="B343" s="118"/>
      <c r="C343" s="118"/>
      <c r="D343" s="118"/>
      <c r="E343" s="118"/>
      <c r="F343" s="118"/>
      <c r="G343" s="118"/>
      <c r="H343" s="118"/>
      <c r="I343" s="118"/>
    </row>
    <row r="344" spans="1:9" ht="12.75" customHeight="1" x14ac:dyDescent="0.2">
      <c r="A344" s="118"/>
      <c r="B344" s="118"/>
      <c r="C344" s="118"/>
      <c r="D344" s="118"/>
      <c r="E344" s="118"/>
      <c r="F344" s="118"/>
      <c r="G344" s="118"/>
      <c r="H344" s="118"/>
      <c r="I344" s="118"/>
    </row>
    <row r="345" spans="1:9" ht="12.75" customHeight="1" x14ac:dyDescent="0.2">
      <c r="A345" s="118"/>
      <c r="B345" s="118"/>
      <c r="C345" s="118"/>
      <c r="D345" s="118"/>
      <c r="E345" s="118"/>
      <c r="F345" s="118"/>
      <c r="G345" s="118"/>
      <c r="H345" s="118"/>
      <c r="I345" s="118"/>
    </row>
    <row r="346" spans="1:9" ht="12.75" customHeight="1" x14ac:dyDescent="0.2">
      <c r="A346" s="118"/>
      <c r="B346" s="118"/>
      <c r="C346" s="118"/>
      <c r="D346" s="118"/>
      <c r="E346" s="118"/>
      <c r="F346" s="118"/>
      <c r="G346" s="118"/>
      <c r="H346" s="118"/>
      <c r="I346" s="118"/>
    </row>
    <row r="347" spans="1:9" ht="12.75" customHeight="1" x14ac:dyDescent="0.2">
      <c r="A347" s="118"/>
      <c r="B347" s="118"/>
      <c r="C347" s="118"/>
      <c r="D347" s="118"/>
      <c r="E347" s="118"/>
      <c r="F347" s="118"/>
      <c r="G347" s="118"/>
      <c r="H347" s="118"/>
      <c r="I347" s="118"/>
    </row>
    <row r="348" spans="1:9" ht="12.75" customHeight="1" x14ac:dyDescent="0.2">
      <c r="A348" s="118"/>
      <c r="B348" s="118"/>
      <c r="C348" s="118"/>
      <c r="D348" s="118"/>
      <c r="E348" s="118"/>
      <c r="F348" s="118"/>
      <c r="G348" s="118"/>
      <c r="H348" s="118"/>
      <c r="I348" s="118"/>
    </row>
    <row r="349" spans="1:9" ht="12.75" customHeight="1" x14ac:dyDescent="0.2">
      <c r="A349" s="118"/>
      <c r="B349" s="118"/>
      <c r="C349" s="118"/>
      <c r="D349" s="118"/>
      <c r="E349" s="118"/>
      <c r="F349" s="118"/>
      <c r="G349" s="118"/>
      <c r="H349" s="118"/>
      <c r="I349" s="118"/>
    </row>
    <row r="350" spans="1:9" ht="12.75" customHeight="1" x14ac:dyDescent="0.2">
      <c r="A350" s="118"/>
      <c r="B350" s="118"/>
      <c r="C350" s="118"/>
      <c r="D350" s="118"/>
      <c r="E350" s="118"/>
      <c r="F350" s="118"/>
      <c r="G350" s="118"/>
      <c r="H350" s="118"/>
      <c r="I350" s="118"/>
    </row>
    <row r="351" spans="1:9" ht="12.75" customHeight="1" x14ac:dyDescent="0.2">
      <c r="A351" s="118"/>
      <c r="B351" s="118"/>
      <c r="C351" s="118"/>
      <c r="D351" s="118"/>
      <c r="E351" s="118"/>
      <c r="F351" s="118"/>
      <c r="G351" s="118"/>
      <c r="H351" s="118"/>
      <c r="I351" s="118"/>
    </row>
    <row r="352" spans="1:9" ht="12.75" customHeight="1" x14ac:dyDescent="0.2">
      <c r="A352" s="118"/>
      <c r="B352" s="118"/>
      <c r="C352" s="118"/>
      <c r="D352" s="118"/>
      <c r="E352" s="118"/>
      <c r="F352" s="118"/>
      <c r="G352" s="118"/>
      <c r="H352" s="118"/>
      <c r="I352" s="118"/>
    </row>
    <row r="353" spans="1:9" ht="12.75" customHeight="1" x14ac:dyDescent="0.2">
      <c r="A353" s="118"/>
      <c r="B353" s="118"/>
      <c r="C353" s="118"/>
      <c r="D353" s="118"/>
      <c r="E353" s="118"/>
      <c r="F353" s="118"/>
      <c r="G353" s="118"/>
      <c r="H353" s="118"/>
      <c r="I353" s="118"/>
    </row>
    <row r="354" spans="1:9" ht="12.75" customHeight="1" x14ac:dyDescent="0.2">
      <c r="A354" s="118"/>
      <c r="B354" s="118"/>
      <c r="C354" s="118"/>
      <c r="D354" s="118"/>
      <c r="E354" s="118"/>
      <c r="F354" s="118"/>
      <c r="G354" s="118"/>
      <c r="H354" s="118"/>
      <c r="I354" s="118"/>
    </row>
    <row r="355" spans="1:9" ht="12.75" customHeight="1" x14ac:dyDescent="0.2">
      <c r="A355" s="118"/>
      <c r="B355" s="118"/>
      <c r="C355" s="118"/>
      <c r="D355" s="118"/>
      <c r="E355" s="118"/>
      <c r="F355" s="118"/>
      <c r="G355" s="118"/>
      <c r="H355" s="118"/>
      <c r="I355" s="118"/>
    </row>
    <row r="356" spans="1:9" ht="12.75" customHeight="1" x14ac:dyDescent="0.2">
      <c r="A356" s="118"/>
      <c r="B356" s="118"/>
      <c r="C356" s="118"/>
      <c r="D356" s="118"/>
      <c r="E356" s="118"/>
      <c r="F356" s="118"/>
      <c r="G356" s="118"/>
      <c r="H356" s="118"/>
      <c r="I356" s="118"/>
    </row>
    <row r="357" spans="1:9" ht="12.75" customHeight="1" x14ac:dyDescent="0.2">
      <c r="A357" s="118"/>
      <c r="B357" s="118"/>
      <c r="C357" s="118"/>
      <c r="D357" s="118"/>
      <c r="E357" s="118"/>
      <c r="F357" s="118"/>
      <c r="G357" s="118"/>
      <c r="H357" s="118"/>
      <c r="I357" s="118"/>
    </row>
    <row r="358" spans="1:9" ht="12.75" customHeight="1" x14ac:dyDescent="0.2">
      <c r="A358" s="118"/>
      <c r="B358" s="118"/>
      <c r="C358" s="118"/>
      <c r="D358" s="118"/>
      <c r="E358" s="118"/>
      <c r="F358" s="118"/>
      <c r="G358" s="118"/>
      <c r="H358" s="118"/>
      <c r="I358" s="118"/>
    </row>
    <row r="359" spans="1:9" ht="12.75" customHeight="1" x14ac:dyDescent="0.2">
      <c r="A359" s="118"/>
      <c r="B359" s="118"/>
      <c r="C359" s="118"/>
      <c r="D359" s="118"/>
      <c r="E359" s="118"/>
      <c r="F359" s="118"/>
      <c r="G359" s="118"/>
      <c r="H359" s="118"/>
      <c r="I359" s="118"/>
    </row>
    <row r="360" spans="1:9" ht="12.75" customHeight="1" x14ac:dyDescent="0.2">
      <c r="A360" s="118"/>
      <c r="B360" s="118"/>
      <c r="C360" s="118"/>
      <c r="D360" s="118"/>
      <c r="E360" s="118"/>
      <c r="F360" s="118"/>
      <c r="G360" s="118"/>
      <c r="H360" s="118"/>
      <c r="I360" s="118"/>
    </row>
    <row r="361" spans="1:9" ht="12.75" customHeight="1" x14ac:dyDescent="0.2">
      <c r="A361" s="118"/>
      <c r="B361" s="118"/>
      <c r="C361" s="118"/>
      <c r="D361" s="118"/>
      <c r="E361" s="118"/>
      <c r="F361" s="118"/>
      <c r="G361" s="118"/>
      <c r="H361" s="118"/>
      <c r="I361" s="118"/>
    </row>
    <row r="362" spans="1:9" ht="12.75" customHeight="1" x14ac:dyDescent="0.2">
      <c r="A362" s="118"/>
      <c r="B362" s="118"/>
      <c r="C362" s="118"/>
      <c r="D362" s="118"/>
      <c r="E362" s="118"/>
      <c r="F362" s="118"/>
      <c r="G362" s="118"/>
      <c r="H362" s="118"/>
      <c r="I362" s="118"/>
    </row>
    <row r="363" spans="1:9" ht="12.75" customHeight="1" x14ac:dyDescent="0.2">
      <c r="A363" s="118"/>
      <c r="B363" s="118"/>
      <c r="C363" s="118"/>
      <c r="D363" s="118"/>
      <c r="E363" s="118"/>
      <c r="F363" s="118"/>
      <c r="G363" s="118"/>
      <c r="H363" s="118"/>
      <c r="I363" s="118"/>
    </row>
    <row r="364" spans="1:9" ht="12.75" customHeight="1" x14ac:dyDescent="0.2">
      <c r="A364" s="118"/>
      <c r="B364" s="118"/>
      <c r="C364" s="118"/>
      <c r="D364" s="118"/>
      <c r="E364" s="118"/>
      <c r="F364" s="118"/>
      <c r="G364" s="118"/>
      <c r="H364" s="118"/>
      <c r="I364" s="118"/>
    </row>
    <row r="365" spans="1:9" ht="12.75" customHeight="1" x14ac:dyDescent="0.2">
      <c r="A365" s="118"/>
      <c r="B365" s="118"/>
      <c r="C365" s="118"/>
      <c r="D365" s="118"/>
      <c r="E365" s="118"/>
      <c r="F365" s="118"/>
      <c r="G365" s="118"/>
      <c r="H365" s="118"/>
      <c r="I365" s="118"/>
    </row>
    <row r="366" spans="1:9" ht="12.75" customHeight="1" x14ac:dyDescent="0.2">
      <c r="A366" s="118"/>
      <c r="B366" s="118"/>
      <c r="C366" s="118"/>
      <c r="D366" s="118"/>
      <c r="E366" s="118"/>
      <c r="F366" s="118"/>
      <c r="G366" s="118"/>
      <c r="H366" s="118"/>
      <c r="I366" s="118"/>
    </row>
    <row r="367" spans="1:9" ht="12.75" customHeight="1" x14ac:dyDescent="0.2">
      <c r="A367" s="118"/>
      <c r="B367" s="118"/>
      <c r="C367" s="118"/>
      <c r="D367" s="118"/>
      <c r="E367" s="118"/>
      <c r="F367" s="118"/>
      <c r="G367" s="118"/>
      <c r="H367" s="118"/>
      <c r="I367" s="118"/>
    </row>
    <row r="368" spans="1:9" ht="12.75" customHeight="1" x14ac:dyDescent="0.2">
      <c r="A368" s="118"/>
      <c r="B368" s="118"/>
      <c r="C368" s="118"/>
      <c r="D368" s="118"/>
      <c r="E368" s="118"/>
      <c r="F368" s="118"/>
      <c r="G368" s="118"/>
      <c r="H368" s="118"/>
      <c r="I368" s="118"/>
    </row>
    <row r="369" spans="1:9" ht="12.75" customHeight="1" x14ac:dyDescent="0.2">
      <c r="A369" s="118"/>
      <c r="B369" s="118"/>
      <c r="C369" s="118"/>
      <c r="D369" s="118"/>
      <c r="E369" s="118"/>
      <c r="F369" s="118"/>
      <c r="G369" s="118"/>
      <c r="H369" s="118"/>
      <c r="I369" s="118"/>
    </row>
    <row r="370" spans="1:9" ht="12.75" customHeight="1" x14ac:dyDescent="0.2">
      <c r="A370" s="118"/>
      <c r="B370" s="118"/>
      <c r="C370" s="118"/>
      <c r="D370" s="118"/>
      <c r="E370" s="118"/>
      <c r="F370" s="118"/>
      <c r="G370" s="118"/>
      <c r="H370" s="118"/>
      <c r="I370" s="118"/>
    </row>
    <row r="371" spans="1:9" ht="12.75" customHeight="1" x14ac:dyDescent="0.2">
      <c r="A371" s="118"/>
      <c r="B371" s="118"/>
      <c r="C371" s="118"/>
      <c r="D371" s="118"/>
      <c r="E371" s="118"/>
      <c r="F371" s="118"/>
      <c r="G371" s="118"/>
      <c r="H371" s="118"/>
      <c r="I371" s="118"/>
    </row>
    <row r="372" spans="1:9" ht="12.75" customHeight="1" x14ac:dyDescent="0.2">
      <c r="A372" s="118"/>
      <c r="B372" s="118"/>
      <c r="C372" s="118"/>
      <c r="D372" s="118"/>
      <c r="E372" s="118"/>
      <c r="F372" s="118"/>
      <c r="G372" s="118"/>
      <c r="H372" s="118"/>
      <c r="I372" s="118"/>
    </row>
    <row r="373" spans="1:9" ht="12.75" customHeight="1" x14ac:dyDescent="0.2">
      <c r="A373" s="118"/>
      <c r="B373" s="118"/>
      <c r="C373" s="118"/>
      <c r="D373" s="118"/>
      <c r="E373" s="118"/>
      <c r="F373" s="118"/>
      <c r="G373" s="118"/>
      <c r="H373" s="118"/>
      <c r="I373" s="118"/>
    </row>
    <row r="374" spans="1:9" ht="12.75" customHeight="1" x14ac:dyDescent="0.2">
      <c r="A374" s="118"/>
      <c r="B374" s="118"/>
      <c r="C374" s="118"/>
      <c r="D374" s="118"/>
      <c r="E374" s="118"/>
      <c r="F374" s="118"/>
      <c r="G374" s="118"/>
      <c r="H374" s="118"/>
      <c r="I374" s="118"/>
    </row>
    <row r="375" spans="1:9" ht="12.75" customHeight="1" x14ac:dyDescent="0.2">
      <c r="A375" s="118"/>
      <c r="B375" s="118"/>
      <c r="C375" s="118"/>
      <c r="D375" s="118"/>
      <c r="E375" s="118"/>
      <c r="F375" s="118"/>
      <c r="G375" s="118"/>
      <c r="H375" s="118"/>
      <c r="I375" s="118"/>
    </row>
    <row r="376" spans="1:9" ht="12.75" customHeight="1" x14ac:dyDescent="0.2">
      <c r="A376" s="118"/>
      <c r="B376" s="118"/>
      <c r="C376" s="118"/>
      <c r="D376" s="118"/>
      <c r="E376" s="118"/>
      <c r="F376" s="118"/>
      <c r="G376" s="118"/>
      <c r="H376" s="118"/>
      <c r="I376" s="118"/>
    </row>
    <row r="377" spans="1:9" ht="12.75" customHeight="1" x14ac:dyDescent="0.2">
      <c r="A377" s="118"/>
      <c r="B377" s="118"/>
      <c r="C377" s="118"/>
      <c r="D377" s="118"/>
      <c r="E377" s="118"/>
      <c r="F377" s="118"/>
      <c r="G377" s="118"/>
      <c r="H377" s="118"/>
      <c r="I377" s="118"/>
    </row>
    <row r="378" spans="1:9" ht="12.75" customHeight="1" x14ac:dyDescent="0.2">
      <c r="A378" s="118"/>
      <c r="B378" s="118"/>
      <c r="C378" s="118"/>
      <c r="D378" s="118"/>
      <c r="E378" s="118"/>
      <c r="F378" s="118"/>
      <c r="G378" s="118"/>
      <c r="H378" s="118"/>
      <c r="I378" s="118"/>
    </row>
    <row r="379" spans="1:9" ht="12.75" customHeight="1" x14ac:dyDescent="0.2">
      <c r="A379" s="118"/>
      <c r="B379" s="118"/>
      <c r="C379" s="118"/>
      <c r="D379" s="118"/>
      <c r="E379" s="118"/>
      <c r="F379" s="118"/>
      <c r="G379" s="118"/>
      <c r="H379" s="118"/>
      <c r="I379" s="118"/>
    </row>
    <row r="380" spans="1:9" ht="12.75" customHeight="1" x14ac:dyDescent="0.2">
      <c r="A380" s="118"/>
      <c r="B380" s="118"/>
      <c r="C380" s="118"/>
      <c r="D380" s="118"/>
      <c r="E380" s="118"/>
      <c r="F380" s="118"/>
      <c r="G380" s="118"/>
      <c r="H380" s="118"/>
      <c r="I380" s="118"/>
    </row>
    <row r="381" spans="1:9" ht="12.75" customHeight="1" x14ac:dyDescent="0.2">
      <c r="A381" s="118"/>
      <c r="B381" s="118"/>
      <c r="C381" s="118"/>
      <c r="D381" s="118"/>
      <c r="E381" s="118"/>
      <c r="F381" s="118"/>
      <c r="G381" s="118"/>
      <c r="H381" s="118"/>
      <c r="I381" s="118"/>
    </row>
    <row r="382" spans="1:9" ht="12.75" customHeight="1" x14ac:dyDescent="0.2">
      <c r="A382" s="118"/>
      <c r="B382" s="118"/>
      <c r="C382" s="118"/>
      <c r="D382" s="118"/>
      <c r="E382" s="118"/>
      <c r="F382" s="118"/>
      <c r="G382" s="118"/>
      <c r="H382" s="118"/>
      <c r="I382" s="118"/>
    </row>
    <row r="383" spans="1:9" ht="12.75" customHeight="1" x14ac:dyDescent="0.2">
      <c r="A383" s="118"/>
      <c r="B383" s="118"/>
      <c r="C383" s="118"/>
      <c r="D383" s="118"/>
      <c r="E383" s="118"/>
      <c r="F383" s="118"/>
      <c r="G383" s="118"/>
      <c r="H383" s="118"/>
      <c r="I383" s="118"/>
    </row>
    <row r="384" spans="1:9" ht="12.75" customHeight="1" x14ac:dyDescent="0.2">
      <c r="A384" s="118"/>
      <c r="B384" s="118"/>
      <c r="C384" s="118"/>
      <c r="D384" s="118"/>
      <c r="E384" s="118"/>
      <c r="F384" s="118"/>
      <c r="G384" s="118"/>
      <c r="H384" s="118"/>
      <c r="I384" s="118"/>
    </row>
    <row r="385" spans="1:9" ht="12.75" customHeight="1" x14ac:dyDescent="0.2">
      <c r="A385" s="118"/>
      <c r="B385" s="118"/>
      <c r="C385" s="118"/>
      <c r="D385" s="118"/>
      <c r="E385" s="118"/>
      <c r="F385" s="118"/>
      <c r="G385" s="118"/>
      <c r="H385" s="118"/>
      <c r="I385" s="118"/>
    </row>
    <row r="386" spans="1:9" ht="12.75" customHeight="1" x14ac:dyDescent="0.2">
      <c r="A386" s="118"/>
      <c r="B386" s="118"/>
      <c r="C386" s="118"/>
      <c r="D386" s="118"/>
      <c r="E386" s="118"/>
      <c r="F386" s="118"/>
      <c r="G386" s="118"/>
      <c r="H386" s="118"/>
      <c r="I386" s="118"/>
    </row>
    <row r="387" spans="1:9" ht="12.75" customHeight="1" x14ac:dyDescent="0.2">
      <c r="A387" s="118"/>
      <c r="B387" s="118"/>
      <c r="C387" s="118"/>
      <c r="D387" s="118"/>
      <c r="E387" s="118"/>
      <c r="F387" s="118"/>
      <c r="G387" s="118"/>
      <c r="H387" s="118"/>
      <c r="I387" s="118"/>
    </row>
    <row r="388" spans="1:9" ht="12.75" customHeight="1" x14ac:dyDescent="0.2">
      <c r="A388" s="118"/>
      <c r="B388" s="118"/>
      <c r="C388" s="118"/>
      <c r="D388" s="118"/>
      <c r="E388" s="118"/>
      <c r="F388" s="118"/>
      <c r="G388" s="118"/>
      <c r="H388" s="118"/>
      <c r="I388" s="118"/>
    </row>
    <row r="389" spans="1:9" ht="12.75" customHeight="1" x14ac:dyDescent="0.2">
      <c r="A389" s="118"/>
      <c r="B389" s="118"/>
      <c r="C389" s="118"/>
      <c r="D389" s="118"/>
      <c r="E389" s="118"/>
      <c r="F389" s="118"/>
      <c r="G389" s="118"/>
      <c r="H389" s="118"/>
      <c r="I389" s="118"/>
    </row>
    <row r="390" spans="1:9" ht="12.75" customHeight="1" x14ac:dyDescent="0.2">
      <c r="A390" s="118"/>
      <c r="B390" s="118"/>
      <c r="C390" s="118"/>
      <c r="D390" s="118"/>
      <c r="E390" s="118"/>
      <c r="F390" s="118"/>
      <c r="G390" s="118"/>
      <c r="H390" s="118"/>
      <c r="I390" s="118"/>
    </row>
    <row r="391" spans="1:9" ht="12.75" customHeight="1" x14ac:dyDescent="0.2">
      <c r="A391" s="118"/>
      <c r="B391" s="118"/>
      <c r="C391" s="118"/>
      <c r="D391" s="118"/>
      <c r="E391" s="118"/>
      <c r="F391" s="118"/>
      <c r="G391" s="118"/>
      <c r="H391" s="118"/>
      <c r="I391" s="118"/>
    </row>
    <row r="392" spans="1:9" ht="12.75" customHeight="1" x14ac:dyDescent="0.2">
      <c r="A392" s="118"/>
      <c r="B392" s="118"/>
      <c r="C392" s="118"/>
      <c r="D392" s="118"/>
      <c r="E392" s="118"/>
      <c r="F392" s="118"/>
      <c r="G392" s="118"/>
      <c r="H392" s="118"/>
      <c r="I392" s="118"/>
    </row>
    <row r="393" spans="1:9" ht="12.75" customHeight="1" x14ac:dyDescent="0.2">
      <c r="A393" s="118"/>
      <c r="B393" s="118"/>
      <c r="C393" s="118"/>
      <c r="D393" s="118"/>
      <c r="E393" s="118"/>
      <c r="F393" s="118"/>
      <c r="G393" s="118"/>
      <c r="H393" s="118"/>
      <c r="I393" s="118"/>
    </row>
    <row r="394" spans="1:9" ht="12.75" customHeight="1" x14ac:dyDescent="0.2">
      <c r="A394" s="118"/>
      <c r="B394" s="118"/>
      <c r="C394" s="118"/>
      <c r="D394" s="118"/>
      <c r="E394" s="118"/>
      <c r="F394" s="118"/>
      <c r="G394" s="118"/>
      <c r="H394" s="118"/>
      <c r="I394" s="118"/>
    </row>
    <row r="395" spans="1:9" ht="12.75" customHeight="1" x14ac:dyDescent="0.2">
      <c r="A395" s="118"/>
      <c r="B395" s="118"/>
      <c r="C395" s="118"/>
      <c r="D395" s="118"/>
      <c r="E395" s="118"/>
      <c r="F395" s="118"/>
      <c r="G395" s="118"/>
      <c r="H395" s="118"/>
      <c r="I395" s="118"/>
    </row>
    <row r="396" spans="1:9" ht="12.75" customHeight="1" x14ac:dyDescent="0.2">
      <c r="A396" s="118"/>
      <c r="B396" s="118"/>
      <c r="C396" s="118"/>
      <c r="D396" s="118"/>
      <c r="E396" s="118"/>
      <c r="F396" s="118"/>
      <c r="G396" s="118"/>
      <c r="H396" s="118"/>
      <c r="I396" s="118"/>
    </row>
    <row r="397" spans="1:9" ht="12.75" customHeight="1" x14ac:dyDescent="0.2">
      <c r="A397" s="118"/>
      <c r="B397" s="118"/>
      <c r="C397" s="118"/>
      <c r="D397" s="118"/>
      <c r="E397" s="118"/>
      <c r="F397" s="118"/>
      <c r="G397" s="118"/>
      <c r="H397" s="118"/>
      <c r="I397" s="118"/>
    </row>
    <row r="398" spans="1:9" ht="12.75" customHeight="1" x14ac:dyDescent="0.2">
      <c r="A398" s="118"/>
      <c r="B398" s="118"/>
      <c r="C398" s="118"/>
      <c r="D398" s="118"/>
      <c r="E398" s="118"/>
      <c r="F398" s="118"/>
      <c r="G398" s="118"/>
      <c r="H398" s="118"/>
      <c r="I398" s="118"/>
    </row>
    <row r="399" spans="1:9" ht="12.75" customHeight="1" x14ac:dyDescent="0.2">
      <c r="A399" s="118"/>
      <c r="B399" s="118"/>
      <c r="C399" s="118"/>
      <c r="D399" s="118"/>
      <c r="E399" s="118"/>
      <c r="F399" s="118"/>
      <c r="G399" s="118"/>
      <c r="H399" s="118"/>
      <c r="I399" s="118"/>
    </row>
    <row r="400" spans="1:9" ht="12.75" customHeight="1" x14ac:dyDescent="0.2">
      <c r="A400" s="118"/>
      <c r="B400" s="118"/>
      <c r="C400" s="118"/>
      <c r="D400" s="118"/>
      <c r="E400" s="118"/>
      <c r="F400" s="118"/>
      <c r="G400" s="118"/>
      <c r="H400" s="118"/>
      <c r="I400" s="118"/>
    </row>
    <row r="401" spans="1:9" ht="12.75" customHeight="1" x14ac:dyDescent="0.2">
      <c r="A401" s="118"/>
      <c r="B401" s="118"/>
      <c r="C401" s="118"/>
      <c r="D401" s="118"/>
      <c r="E401" s="118"/>
      <c r="F401" s="118"/>
      <c r="G401" s="118"/>
      <c r="H401" s="118"/>
      <c r="I401" s="118"/>
    </row>
    <row r="402" spans="1:9" ht="12.75" customHeight="1" x14ac:dyDescent="0.2">
      <c r="A402" s="118"/>
      <c r="B402" s="118"/>
      <c r="C402" s="118"/>
      <c r="D402" s="118"/>
      <c r="E402" s="118"/>
      <c r="F402" s="118"/>
      <c r="G402" s="118"/>
      <c r="H402" s="118"/>
      <c r="I402" s="118"/>
    </row>
    <row r="403" spans="1:9" ht="12.75" customHeight="1" x14ac:dyDescent="0.2">
      <c r="A403" s="118"/>
      <c r="B403" s="118"/>
      <c r="C403" s="118"/>
      <c r="D403" s="118"/>
      <c r="E403" s="118"/>
      <c r="F403" s="118"/>
      <c r="G403" s="118"/>
      <c r="H403" s="118"/>
      <c r="I403" s="118"/>
    </row>
    <row r="404" spans="1:9" ht="12.75" customHeight="1" x14ac:dyDescent="0.2">
      <c r="A404" s="118"/>
      <c r="B404" s="118"/>
      <c r="C404" s="118"/>
      <c r="D404" s="118"/>
      <c r="E404" s="118"/>
      <c r="F404" s="118"/>
      <c r="G404" s="118"/>
      <c r="H404" s="118"/>
      <c r="I404" s="118"/>
    </row>
    <row r="405" spans="1:9" ht="12.75" customHeight="1" x14ac:dyDescent="0.2">
      <c r="A405" s="118"/>
      <c r="B405" s="118"/>
      <c r="C405" s="118"/>
      <c r="D405" s="118"/>
      <c r="E405" s="118"/>
      <c r="F405" s="118"/>
      <c r="G405" s="118"/>
      <c r="H405" s="118"/>
      <c r="I405" s="118"/>
    </row>
    <row r="406" spans="1:9" ht="12.75" customHeight="1" x14ac:dyDescent="0.2">
      <c r="A406" s="118"/>
      <c r="B406" s="118"/>
      <c r="C406" s="118"/>
      <c r="D406" s="118"/>
      <c r="E406" s="118"/>
      <c r="F406" s="118"/>
      <c r="G406" s="118"/>
      <c r="H406" s="118"/>
      <c r="I406" s="118"/>
    </row>
    <row r="407" spans="1:9" ht="12.75" customHeight="1" x14ac:dyDescent="0.2">
      <c r="A407" s="118"/>
      <c r="B407" s="118"/>
      <c r="C407" s="118"/>
      <c r="D407" s="118"/>
      <c r="E407" s="118"/>
      <c r="F407" s="118"/>
      <c r="G407" s="118"/>
      <c r="H407" s="118"/>
      <c r="I407" s="118"/>
    </row>
    <row r="408" spans="1:9" ht="12.75" customHeight="1" x14ac:dyDescent="0.2">
      <c r="A408" s="118"/>
      <c r="B408" s="118"/>
      <c r="C408" s="118"/>
      <c r="D408" s="118"/>
      <c r="E408" s="118"/>
      <c r="F408" s="118"/>
      <c r="G408" s="118"/>
      <c r="H408" s="118"/>
      <c r="I408" s="118"/>
    </row>
    <row r="409" spans="1:9" ht="12.75" customHeight="1" x14ac:dyDescent="0.2">
      <c r="A409" s="118"/>
      <c r="B409" s="118"/>
      <c r="C409" s="118"/>
      <c r="D409" s="118"/>
      <c r="E409" s="118"/>
      <c r="F409" s="118"/>
      <c r="G409" s="118"/>
      <c r="H409" s="118"/>
      <c r="I409" s="118"/>
    </row>
    <row r="410" spans="1:9" ht="12.75" customHeight="1" x14ac:dyDescent="0.2">
      <c r="A410" s="118"/>
      <c r="B410" s="118"/>
      <c r="C410" s="118"/>
      <c r="D410" s="118"/>
      <c r="E410" s="118"/>
      <c r="F410" s="118"/>
      <c r="G410" s="118"/>
      <c r="H410" s="118"/>
      <c r="I410" s="118"/>
    </row>
    <row r="411" spans="1:9" ht="12.75" customHeight="1" x14ac:dyDescent="0.2">
      <c r="A411" s="118"/>
      <c r="B411" s="118"/>
      <c r="C411" s="118"/>
      <c r="D411" s="118"/>
      <c r="E411" s="118"/>
      <c r="F411" s="118"/>
      <c r="G411" s="118"/>
      <c r="H411" s="118"/>
      <c r="I411" s="118"/>
    </row>
    <row r="412" spans="1:9" ht="12.75" customHeight="1" x14ac:dyDescent="0.2">
      <c r="A412" s="118"/>
      <c r="B412" s="118"/>
      <c r="C412" s="118"/>
      <c r="D412" s="118"/>
      <c r="E412" s="118"/>
      <c r="F412" s="118"/>
      <c r="G412" s="118"/>
      <c r="H412" s="118"/>
      <c r="I412" s="118"/>
    </row>
    <row r="413" spans="1:9" ht="12.75" customHeight="1" x14ac:dyDescent="0.2">
      <c r="A413" s="118"/>
      <c r="B413" s="118"/>
      <c r="C413" s="118"/>
      <c r="D413" s="118"/>
      <c r="E413" s="118"/>
      <c r="F413" s="118"/>
      <c r="G413" s="118"/>
      <c r="H413" s="118"/>
      <c r="I413" s="118"/>
    </row>
    <row r="414" spans="1:9" ht="12.75" customHeight="1" x14ac:dyDescent="0.2">
      <c r="A414" s="118"/>
      <c r="B414" s="118"/>
      <c r="C414" s="118"/>
      <c r="D414" s="118"/>
      <c r="E414" s="118"/>
      <c r="F414" s="118"/>
      <c r="G414" s="118"/>
      <c r="H414" s="118"/>
      <c r="I414" s="118"/>
    </row>
    <row r="415" spans="1:9" ht="12.75" customHeight="1" x14ac:dyDescent="0.2">
      <c r="A415" s="118"/>
      <c r="B415" s="118"/>
      <c r="C415" s="118"/>
      <c r="D415" s="118"/>
      <c r="E415" s="118"/>
      <c r="F415" s="118"/>
      <c r="G415" s="118"/>
      <c r="H415" s="118"/>
      <c r="I415" s="118"/>
    </row>
    <row r="416" spans="1:9" ht="12.75" customHeight="1" x14ac:dyDescent="0.2">
      <c r="A416" s="118"/>
      <c r="B416" s="118"/>
      <c r="C416" s="118"/>
      <c r="D416" s="118"/>
      <c r="E416" s="118"/>
      <c r="F416" s="118"/>
      <c r="G416" s="118"/>
      <c r="H416" s="118"/>
      <c r="I416" s="118"/>
    </row>
    <row r="417" spans="1:9" ht="12.75" customHeight="1" x14ac:dyDescent="0.2">
      <c r="A417" s="118"/>
      <c r="B417" s="118"/>
      <c r="C417" s="118"/>
      <c r="D417" s="118"/>
      <c r="E417" s="118"/>
      <c r="F417" s="118"/>
      <c r="G417" s="118"/>
      <c r="H417" s="118"/>
      <c r="I417" s="118"/>
    </row>
    <row r="418" spans="1:9" ht="12.75" customHeight="1" x14ac:dyDescent="0.2">
      <c r="A418" s="118"/>
      <c r="B418" s="118"/>
      <c r="C418" s="118"/>
      <c r="D418" s="118"/>
      <c r="E418" s="118"/>
      <c r="F418" s="118"/>
      <c r="G418" s="118"/>
      <c r="H418" s="118"/>
      <c r="I418" s="118"/>
    </row>
    <row r="419" spans="1:9" ht="12.75" customHeight="1" x14ac:dyDescent="0.2">
      <c r="A419" s="118"/>
      <c r="B419" s="118"/>
      <c r="C419" s="118"/>
      <c r="D419" s="118"/>
      <c r="E419" s="118"/>
      <c r="F419" s="118"/>
      <c r="G419" s="118"/>
      <c r="H419" s="118"/>
      <c r="I419" s="118"/>
    </row>
    <row r="420" spans="1:9" ht="12.75" customHeight="1" x14ac:dyDescent="0.2">
      <c r="A420" s="118"/>
      <c r="B420" s="118"/>
      <c r="C420" s="118"/>
      <c r="D420" s="118"/>
      <c r="E420" s="118"/>
      <c r="F420" s="118"/>
      <c r="G420" s="118"/>
      <c r="H420" s="118"/>
      <c r="I420" s="118"/>
    </row>
    <row r="421" spans="1:9" ht="12.75" customHeight="1" x14ac:dyDescent="0.2">
      <c r="A421" s="118"/>
      <c r="B421" s="118"/>
      <c r="C421" s="118"/>
      <c r="D421" s="118"/>
      <c r="E421" s="118"/>
      <c r="F421" s="118"/>
      <c r="G421" s="118"/>
      <c r="H421" s="118"/>
      <c r="I421" s="118"/>
    </row>
    <row r="422" spans="1:9" ht="12.75" customHeight="1" x14ac:dyDescent="0.2">
      <c r="A422" s="118"/>
      <c r="B422" s="118"/>
      <c r="C422" s="118"/>
      <c r="D422" s="118"/>
      <c r="E422" s="118"/>
      <c r="F422" s="118"/>
      <c r="G422" s="118"/>
      <c r="H422" s="118"/>
      <c r="I422" s="118"/>
    </row>
    <row r="423" spans="1:9" ht="12.75" customHeight="1" x14ac:dyDescent="0.2">
      <c r="A423" s="118"/>
      <c r="B423" s="118"/>
      <c r="C423" s="118"/>
      <c r="D423" s="118"/>
      <c r="E423" s="118"/>
      <c r="F423" s="118"/>
      <c r="G423" s="118"/>
      <c r="H423" s="118"/>
      <c r="I423" s="118"/>
    </row>
    <row r="424" spans="1:9" ht="12.75" customHeight="1" x14ac:dyDescent="0.2">
      <c r="A424" s="118"/>
      <c r="B424" s="118"/>
      <c r="C424" s="118"/>
      <c r="D424" s="118"/>
      <c r="E424" s="118"/>
      <c r="F424" s="118"/>
      <c r="G424" s="118"/>
      <c r="H424" s="118"/>
      <c r="I424" s="118"/>
    </row>
    <row r="425" spans="1:9" ht="12.75" customHeight="1" x14ac:dyDescent="0.2">
      <c r="A425" s="118"/>
      <c r="B425" s="118"/>
      <c r="C425" s="118"/>
      <c r="D425" s="118"/>
      <c r="E425" s="118"/>
      <c r="F425" s="118"/>
      <c r="G425" s="118"/>
      <c r="H425" s="118"/>
      <c r="I425" s="118"/>
    </row>
    <row r="426" spans="1:9" ht="12.75" customHeight="1" x14ac:dyDescent="0.2">
      <c r="A426" s="118"/>
      <c r="B426" s="118"/>
      <c r="C426" s="118"/>
      <c r="D426" s="118"/>
      <c r="E426" s="118"/>
      <c r="F426" s="118"/>
      <c r="G426" s="118"/>
      <c r="H426" s="118"/>
      <c r="I426" s="118"/>
    </row>
    <row r="427" spans="1:9" ht="12.75" customHeight="1" x14ac:dyDescent="0.2">
      <c r="A427" s="118"/>
      <c r="B427" s="118"/>
      <c r="C427" s="118"/>
      <c r="D427" s="118"/>
      <c r="E427" s="118"/>
      <c r="F427" s="118"/>
      <c r="G427" s="118"/>
      <c r="H427" s="118"/>
      <c r="I427" s="118"/>
    </row>
    <row r="428" spans="1:9" ht="12.75" customHeight="1" x14ac:dyDescent="0.2">
      <c r="A428" s="118"/>
      <c r="B428" s="118"/>
      <c r="C428" s="118"/>
      <c r="D428" s="118"/>
      <c r="E428" s="118"/>
      <c r="F428" s="118"/>
      <c r="G428" s="118"/>
      <c r="H428" s="118"/>
      <c r="I428" s="118"/>
    </row>
    <row r="429" spans="1:9" ht="12.75" customHeight="1" x14ac:dyDescent="0.2">
      <c r="A429" s="118"/>
      <c r="B429" s="118"/>
      <c r="C429" s="118"/>
      <c r="D429" s="118"/>
      <c r="E429" s="118"/>
      <c r="F429" s="118"/>
      <c r="G429" s="118"/>
      <c r="H429" s="118"/>
      <c r="I429" s="118"/>
    </row>
    <row r="430" spans="1:9" ht="12.75" customHeight="1" x14ac:dyDescent="0.2">
      <c r="A430" s="118"/>
      <c r="B430" s="118"/>
      <c r="C430" s="118"/>
      <c r="D430" s="118"/>
      <c r="E430" s="118"/>
      <c r="F430" s="118"/>
      <c r="G430" s="118"/>
      <c r="H430" s="118"/>
      <c r="I430" s="118"/>
    </row>
    <row r="431" spans="1:9" ht="12.75" customHeight="1" x14ac:dyDescent="0.2">
      <c r="A431" s="118"/>
      <c r="B431" s="118"/>
      <c r="C431" s="118"/>
      <c r="D431" s="118"/>
      <c r="E431" s="118"/>
      <c r="F431" s="118"/>
      <c r="G431" s="118"/>
      <c r="H431" s="118"/>
      <c r="I431" s="118"/>
    </row>
    <row r="432" spans="1:9" ht="12.75" customHeight="1" x14ac:dyDescent="0.2">
      <c r="A432" s="118"/>
      <c r="B432" s="118"/>
      <c r="C432" s="118"/>
      <c r="D432" s="118"/>
      <c r="E432" s="118"/>
      <c r="F432" s="118"/>
      <c r="G432" s="118"/>
      <c r="H432" s="118"/>
      <c r="I432" s="118"/>
    </row>
    <row r="433" spans="1:9" ht="12.75" customHeight="1" x14ac:dyDescent="0.2">
      <c r="A433" s="118"/>
      <c r="B433" s="118"/>
      <c r="C433" s="118"/>
      <c r="D433" s="118"/>
      <c r="E433" s="118"/>
      <c r="F433" s="118"/>
      <c r="G433" s="118"/>
      <c r="H433" s="118"/>
      <c r="I433" s="118"/>
    </row>
    <row r="434" spans="1:9" ht="12.75" customHeight="1" x14ac:dyDescent="0.2">
      <c r="A434" s="118"/>
      <c r="B434" s="118"/>
      <c r="C434" s="118"/>
      <c r="D434" s="118"/>
      <c r="E434" s="118"/>
      <c r="F434" s="118"/>
      <c r="G434" s="118"/>
      <c r="H434" s="118"/>
      <c r="I434" s="118"/>
    </row>
    <row r="435" spans="1:9" ht="12.75" customHeight="1" x14ac:dyDescent="0.2">
      <c r="A435" s="118"/>
      <c r="B435" s="118"/>
      <c r="C435" s="118"/>
      <c r="D435" s="118"/>
      <c r="E435" s="118"/>
      <c r="F435" s="118"/>
      <c r="G435" s="118"/>
      <c r="H435" s="118"/>
      <c r="I435" s="118"/>
    </row>
    <row r="436" spans="1:9" ht="12.75" customHeight="1" x14ac:dyDescent="0.2">
      <c r="A436" s="118"/>
      <c r="B436" s="118"/>
      <c r="C436" s="118"/>
      <c r="D436" s="118"/>
      <c r="E436" s="118"/>
      <c r="F436" s="118"/>
      <c r="G436" s="118"/>
      <c r="H436" s="118"/>
      <c r="I436" s="118"/>
    </row>
    <row r="437" spans="1:9" ht="12.75" customHeight="1" x14ac:dyDescent="0.2">
      <c r="A437" s="118"/>
      <c r="B437" s="118"/>
      <c r="C437" s="118"/>
      <c r="D437" s="118"/>
      <c r="E437" s="118"/>
      <c r="F437" s="118"/>
      <c r="G437" s="118"/>
      <c r="H437" s="118"/>
      <c r="I437" s="118"/>
    </row>
    <row r="438" spans="1:9" ht="12.75" customHeight="1" x14ac:dyDescent="0.2">
      <c r="A438" s="118"/>
      <c r="B438" s="118"/>
      <c r="C438" s="118"/>
      <c r="D438" s="118"/>
      <c r="E438" s="118"/>
      <c r="F438" s="118"/>
      <c r="G438" s="118"/>
      <c r="H438" s="118"/>
      <c r="I438" s="118"/>
    </row>
    <row r="439" spans="1:9" ht="12.75" customHeight="1" x14ac:dyDescent="0.2">
      <c r="A439" s="118"/>
      <c r="B439" s="118"/>
      <c r="C439" s="118"/>
      <c r="D439" s="118"/>
      <c r="E439" s="118"/>
      <c r="F439" s="118"/>
      <c r="G439" s="118"/>
      <c r="H439" s="118"/>
      <c r="I439" s="118"/>
    </row>
    <row r="440" spans="1:9" ht="12.75" customHeight="1" x14ac:dyDescent="0.2">
      <c r="A440" s="118"/>
      <c r="B440" s="118"/>
      <c r="C440" s="118"/>
      <c r="D440" s="118"/>
      <c r="E440" s="118"/>
      <c r="F440" s="118"/>
      <c r="G440" s="118"/>
      <c r="H440" s="118"/>
      <c r="I440" s="118"/>
    </row>
    <row r="441" spans="1:9" ht="12.75" customHeight="1" x14ac:dyDescent="0.2">
      <c r="A441" s="118"/>
      <c r="B441" s="118"/>
      <c r="C441" s="118"/>
      <c r="D441" s="118"/>
      <c r="E441" s="118"/>
      <c r="F441" s="118"/>
      <c r="G441" s="118"/>
      <c r="H441" s="118"/>
      <c r="I441" s="118"/>
    </row>
    <row r="442" spans="1:9" ht="12.75" customHeight="1" x14ac:dyDescent="0.2">
      <c r="A442" s="118"/>
      <c r="B442" s="118"/>
      <c r="C442" s="118"/>
      <c r="D442" s="118"/>
      <c r="E442" s="118"/>
      <c r="F442" s="118"/>
      <c r="G442" s="118"/>
      <c r="H442" s="118"/>
      <c r="I442" s="118"/>
    </row>
    <row r="443" spans="1:9" ht="12.75" customHeight="1" x14ac:dyDescent="0.2">
      <c r="A443" s="118"/>
      <c r="B443" s="118"/>
      <c r="C443" s="118"/>
      <c r="D443" s="118"/>
      <c r="E443" s="118"/>
      <c r="F443" s="118"/>
      <c r="G443" s="118"/>
      <c r="H443" s="118"/>
      <c r="I443" s="118"/>
    </row>
    <row r="444" spans="1:9" ht="12.75" customHeight="1" x14ac:dyDescent="0.2">
      <c r="A444" s="118"/>
      <c r="B444" s="118"/>
      <c r="C444" s="118"/>
      <c r="D444" s="118"/>
      <c r="E444" s="118"/>
      <c r="F444" s="118"/>
      <c r="G444" s="118"/>
      <c r="H444" s="118"/>
      <c r="I444" s="118"/>
    </row>
    <row r="445" spans="1:9" ht="12.75" customHeight="1" x14ac:dyDescent="0.2">
      <c r="A445" s="118"/>
      <c r="B445" s="118"/>
      <c r="C445" s="118"/>
      <c r="D445" s="118"/>
      <c r="E445" s="118"/>
      <c r="F445" s="118"/>
      <c r="G445" s="118"/>
      <c r="H445" s="118"/>
      <c r="I445" s="118"/>
    </row>
    <row r="446" spans="1:9" ht="12.75" customHeight="1" x14ac:dyDescent="0.2">
      <c r="A446" s="118"/>
      <c r="B446" s="118"/>
      <c r="C446" s="118"/>
      <c r="D446" s="118"/>
      <c r="E446" s="118"/>
      <c r="F446" s="118"/>
      <c r="G446" s="118"/>
      <c r="H446" s="118"/>
      <c r="I446" s="118"/>
    </row>
    <row r="447" spans="1:9" ht="12.75" customHeight="1" x14ac:dyDescent="0.2">
      <c r="A447" s="118"/>
      <c r="B447" s="118"/>
      <c r="C447" s="118"/>
      <c r="D447" s="118"/>
      <c r="E447" s="118"/>
      <c r="F447" s="118"/>
      <c r="G447" s="118"/>
      <c r="H447" s="118"/>
      <c r="I447" s="118"/>
    </row>
    <row r="448" spans="1:9" ht="12.75" customHeight="1" x14ac:dyDescent="0.2">
      <c r="A448" s="118"/>
      <c r="B448" s="118"/>
      <c r="C448" s="118"/>
      <c r="D448" s="118"/>
      <c r="E448" s="118"/>
      <c r="F448" s="118"/>
      <c r="G448" s="118"/>
      <c r="H448" s="118"/>
      <c r="I448" s="118"/>
    </row>
    <row r="449" spans="1:9" ht="12.75" customHeight="1" x14ac:dyDescent="0.2">
      <c r="A449" s="118"/>
      <c r="B449" s="118"/>
      <c r="C449" s="118"/>
      <c r="D449" s="118"/>
      <c r="E449" s="118"/>
      <c r="F449" s="118"/>
      <c r="G449" s="118"/>
      <c r="H449" s="118"/>
      <c r="I449" s="118"/>
    </row>
    <row r="450" spans="1:9" ht="12.75" customHeight="1" x14ac:dyDescent="0.2">
      <c r="A450" s="118"/>
      <c r="B450" s="118"/>
      <c r="C450" s="118"/>
      <c r="D450" s="118"/>
      <c r="E450" s="118"/>
      <c r="F450" s="118"/>
      <c r="G450" s="118"/>
      <c r="H450" s="118"/>
      <c r="I450" s="118"/>
    </row>
    <row r="451" spans="1:9" ht="12.75" customHeight="1" x14ac:dyDescent="0.2">
      <c r="A451" s="118"/>
      <c r="B451" s="118"/>
      <c r="C451" s="118"/>
      <c r="D451" s="118"/>
      <c r="E451" s="118"/>
      <c r="F451" s="118"/>
      <c r="G451" s="118"/>
      <c r="H451" s="118"/>
      <c r="I451" s="118"/>
    </row>
    <row r="452" spans="1:9" ht="12.75" customHeight="1" x14ac:dyDescent="0.2">
      <c r="A452" s="118"/>
      <c r="B452" s="118"/>
      <c r="C452" s="118"/>
      <c r="D452" s="118"/>
      <c r="E452" s="118"/>
      <c r="F452" s="118"/>
      <c r="G452" s="118"/>
      <c r="H452" s="118"/>
      <c r="I452" s="118"/>
    </row>
    <row r="453" spans="1:9" ht="12.75" customHeight="1" x14ac:dyDescent="0.2">
      <c r="A453" s="118"/>
      <c r="B453" s="118"/>
      <c r="C453" s="118"/>
      <c r="D453" s="118"/>
      <c r="E453" s="118"/>
      <c r="F453" s="118"/>
      <c r="G453" s="118"/>
      <c r="H453" s="118"/>
      <c r="I453" s="118"/>
    </row>
    <row r="454" spans="1:9" ht="12.75" customHeight="1" x14ac:dyDescent="0.2">
      <c r="A454" s="118"/>
      <c r="B454" s="118"/>
      <c r="C454" s="118"/>
      <c r="D454" s="118"/>
      <c r="E454" s="118"/>
      <c r="F454" s="118"/>
      <c r="G454" s="118"/>
      <c r="H454" s="118"/>
      <c r="I454" s="118"/>
    </row>
    <row r="455" spans="1:9" ht="12.75" customHeight="1" x14ac:dyDescent="0.2">
      <c r="A455" s="118"/>
      <c r="B455" s="118"/>
      <c r="C455" s="118"/>
      <c r="D455" s="118"/>
      <c r="E455" s="118"/>
      <c r="F455" s="118"/>
      <c r="G455" s="118"/>
      <c r="H455" s="118"/>
      <c r="I455" s="118"/>
    </row>
    <row r="456" spans="1:9" ht="12.75" customHeight="1" x14ac:dyDescent="0.2">
      <c r="A456" s="118"/>
      <c r="B456" s="118"/>
      <c r="C456" s="118"/>
      <c r="D456" s="118"/>
      <c r="E456" s="118"/>
      <c r="F456" s="118"/>
      <c r="G456" s="118"/>
      <c r="H456" s="118"/>
      <c r="I456" s="118"/>
    </row>
    <row r="457" spans="1:9" ht="12.75" customHeight="1" x14ac:dyDescent="0.2">
      <c r="A457" s="118"/>
      <c r="B457" s="118"/>
      <c r="C457" s="118"/>
      <c r="D457" s="118"/>
      <c r="E457" s="118"/>
      <c r="F457" s="118"/>
      <c r="G457" s="118"/>
      <c r="H457" s="118"/>
      <c r="I457" s="118"/>
    </row>
    <row r="458" spans="1:9" ht="12.75" customHeight="1" x14ac:dyDescent="0.2">
      <c r="A458" s="118"/>
      <c r="B458" s="118"/>
      <c r="C458" s="118"/>
      <c r="D458" s="118"/>
      <c r="E458" s="118"/>
      <c r="F458" s="118"/>
      <c r="G458" s="118"/>
      <c r="H458" s="118"/>
      <c r="I458" s="118"/>
    </row>
    <row r="459" spans="1:9" ht="12.75" customHeight="1" x14ac:dyDescent="0.2">
      <c r="A459" s="118"/>
      <c r="B459" s="118"/>
      <c r="C459" s="118"/>
      <c r="D459" s="118"/>
      <c r="E459" s="118"/>
      <c r="F459" s="118"/>
      <c r="G459" s="118"/>
      <c r="H459" s="118"/>
      <c r="I459" s="118"/>
    </row>
    <row r="460" spans="1:9" ht="12.75" customHeight="1" x14ac:dyDescent="0.2">
      <c r="A460" s="118"/>
      <c r="B460" s="118"/>
      <c r="C460" s="118"/>
      <c r="D460" s="118"/>
      <c r="E460" s="118"/>
      <c r="F460" s="118"/>
      <c r="G460" s="118"/>
      <c r="H460" s="118"/>
      <c r="I460" s="118"/>
    </row>
    <row r="461" spans="1:9" ht="12.75" customHeight="1" x14ac:dyDescent="0.2">
      <c r="A461" s="118"/>
      <c r="B461" s="118"/>
      <c r="C461" s="118"/>
      <c r="D461" s="118"/>
      <c r="E461" s="118"/>
      <c r="F461" s="118"/>
      <c r="G461" s="118"/>
      <c r="H461" s="118"/>
      <c r="I461" s="118"/>
    </row>
    <row r="462" spans="1:9" ht="12.75" customHeight="1" x14ac:dyDescent="0.2">
      <c r="A462" s="118"/>
      <c r="B462" s="118"/>
      <c r="C462" s="118"/>
      <c r="D462" s="118"/>
      <c r="E462" s="118"/>
      <c r="F462" s="118"/>
      <c r="G462" s="118"/>
      <c r="H462" s="118"/>
      <c r="I462" s="118"/>
    </row>
    <row r="463" spans="1:9" ht="12.75" customHeight="1" x14ac:dyDescent="0.2">
      <c r="A463" s="118"/>
      <c r="B463" s="118"/>
      <c r="C463" s="118"/>
      <c r="D463" s="118"/>
      <c r="E463" s="118"/>
      <c r="F463" s="118"/>
      <c r="G463" s="118"/>
      <c r="H463" s="118"/>
      <c r="I463" s="118"/>
    </row>
    <row r="464" spans="1:9" ht="12.75" customHeight="1" x14ac:dyDescent="0.2">
      <c r="A464" s="118"/>
      <c r="B464" s="118"/>
      <c r="C464" s="118"/>
      <c r="D464" s="118"/>
      <c r="E464" s="118"/>
      <c r="F464" s="118"/>
      <c r="G464" s="118"/>
      <c r="H464" s="118"/>
      <c r="I464" s="118"/>
    </row>
    <row r="465" spans="1:9" ht="12.75" customHeight="1" x14ac:dyDescent="0.2">
      <c r="A465" s="118"/>
      <c r="B465" s="118"/>
      <c r="C465" s="118"/>
      <c r="D465" s="118"/>
      <c r="E465" s="118"/>
      <c r="F465" s="118"/>
      <c r="G465" s="118"/>
      <c r="H465" s="118"/>
      <c r="I465" s="118"/>
    </row>
    <row r="466" spans="1:9" ht="12.75" customHeight="1" x14ac:dyDescent="0.2">
      <c r="A466" s="118"/>
      <c r="B466" s="118"/>
      <c r="C466" s="118"/>
      <c r="D466" s="118"/>
      <c r="E466" s="118"/>
      <c r="F466" s="118"/>
      <c r="G466" s="118"/>
      <c r="H466" s="118"/>
      <c r="I466" s="118"/>
    </row>
    <row r="467" spans="1:9" ht="12.75" customHeight="1" x14ac:dyDescent="0.2">
      <c r="A467" s="118"/>
      <c r="B467" s="118"/>
      <c r="C467" s="118"/>
      <c r="D467" s="118"/>
      <c r="E467" s="118"/>
      <c r="F467" s="118"/>
      <c r="G467" s="118"/>
      <c r="H467" s="118"/>
      <c r="I467" s="118"/>
    </row>
    <row r="468" spans="1:9" ht="12.75" customHeight="1" x14ac:dyDescent="0.2">
      <c r="A468" s="118"/>
      <c r="B468" s="118"/>
      <c r="C468" s="118"/>
      <c r="D468" s="118"/>
      <c r="E468" s="118"/>
      <c r="F468" s="118"/>
      <c r="G468" s="118"/>
      <c r="H468" s="118"/>
      <c r="I468" s="118"/>
    </row>
    <row r="469" spans="1:9" ht="12.75" customHeight="1" x14ac:dyDescent="0.2">
      <c r="A469" s="118"/>
      <c r="B469" s="118"/>
      <c r="C469" s="118"/>
      <c r="D469" s="118"/>
      <c r="E469" s="118"/>
      <c r="F469" s="118"/>
      <c r="G469" s="118"/>
      <c r="H469" s="118"/>
      <c r="I469" s="118"/>
    </row>
    <row r="470" spans="1:9" ht="12.75" customHeight="1" x14ac:dyDescent="0.2">
      <c r="A470" s="118"/>
      <c r="B470" s="118"/>
      <c r="C470" s="118"/>
      <c r="D470" s="118"/>
      <c r="E470" s="118"/>
      <c r="F470" s="118"/>
      <c r="G470" s="118"/>
      <c r="H470" s="118"/>
      <c r="I470" s="118"/>
    </row>
    <row r="471" spans="1:9" ht="12.75" customHeight="1" x14ac:dyDescent="0.2">
      <c r="A471" s="118"/>
      <c r="B471" s="118"/>
      <c r="C471" s="118"/>
      <c r="D471" s="118"/>
      <c r="E471" s="118"/>
      <c r="F471" s="118"/>
      <c r="G471" s="118"/>
      <c r="H471" s="118"/>
      <c r="I471" s="118"/>
    </row>
    <row r="472" spans="1:9" ht="12.75" customHeight="1" x14ac:dyDescent="0.2">
      <c r="A472" s="118"/>
      <c r="B472" s="118"/>
      <c r="C472" s="118"/>
      <c r="D472" s="118"/>
      <c r="E472" s="118"/>
      <c r="F472" s="118"/>
      <c r="G472" s="118"/>
      <c r="H472" s="118"/>
      <c r="I472" s="118"/>
    </row>
    <row r="473" spans="1:9" ht="12.75" customHeight="1" x14ac:dyDescent="0.2">
      <c r="A473" s="118"/>
      <c r="B473" s="118"/>
      <c r="C473" s="118"/>
      <c r="D473" s="118"/>
      <c r="E473" s="118"/>
      <c r="F473" s="118"/>
      <c r="G473" s="118"/>
      <c r="H473" s="118"/>
      <c r="I473" s="118"/>
    </row>
    <row r="474" spans="1:9" ht="12.75" customHeight="1" x14ac:dyDescent="0.2">
      <c r="A474" s="118"/>
      <c r="B474" s="118"/>
      <c r="C474" s="118"/>
      <c r="D474" s="118"/>
      <c r="E474" s="118"/>
      <c r="F474" s="118"/>
      <c r="G474" s="118"/>
      <c r="H474" s="118"/>
      <c r="I474" s="118"/>
    </row>
    <row r="475" spans="1:9" ht="12.75" customHeight="1" x14ac:dyDescent="0.2">
      <c r="A475" s="118"/>
      <c r="B475" s="118"/>
      <c r="C475" s="118"/>
      <c r="D475" s="118"/>
      <c r="E475" s="118"/>
      <c r="F475" s="118"/>
      <c r="G475" s="118"/>
      <c r="H475" s="118"/>
      <c r="I475" s="118"/>
    </row>
    <row r="476" spans="1:9" ht="12.75" customHeight="1" x14ac:dyDescent="0.2">
      <c r="A476" s="118"/>
      <c r="B476" s="118"/>
      <c r="C476" s="118"/>
      <c r="D476" s="118"/>
      <c r="E476" s="118"/>
      <c r="F476" s="118"/>
      <c r="G476" s="118"/>
      <c r="H476" s="118"/>
      <c r="I476" s="118"/>
    </row>
    <row r="477" spans="1:9" ht="12.75" customHeight="1" x14ac:dyDescent="0.2">
      <c r="A477" s="118"/>
      <c r="B477" s="118"/>
      <c r="C477" s="118"/>
      <c r="D477" s="118"/>
      <c r="E477" s="118"/>
      <c r="F477" s="118"/>
      <c r="G477" s="118"/>
      <c r="H477" s="118"/>
      <c r="I477" s="118"/>
    </row>
    <row r="478" spans="1:9" ht="12.75" customHeight="1" x14ac:dyDescent="0.2">
      <c r="A478" s="118"/>
      <c r="B478" s="118"/>
      <c r="C478" s="118"/>
      <c r="D478" s="118"/>
      <c r="E478" s="118"/>
      <c r="F478" s="118"/>
      <c r="G478" s="118"/>
      <c r="H478" s="118"/>
      <c r="I478" s="118"/>
    </row>
    <row r="479" spans="1:9" ht="12.75" customHeight="1" x14ac:dyDescent="0.2">
      <c r="A479" s="118"/>
      <c r="B479" s="118"/>
      <c r="C479" s="118"/>
      <c r="D479" s="118"/>
      <c r="E479" s="118"/>
      <c r="F479" s="118"/>
      <c r="G479" s="118"/>
      <c r="H479" s="118"/>
      <c r="I479" s="118"/>
    </row>
    <row r="480" spans="1:9" ht="12.75" customHeight="1" x14ac:dyDescent="0.2">
      <c r="A480" s="118"/>
      <c r="B480" s="118"/>
      <c r="C480" s="118"/>
      <c r="D480" s="118"/>
      <c r="E480" s="118"/>
      <c r="F480" s="118"/>
      <c r="G480" s="118"/>
      <c r="H480" s="118"/>
      <c r="I480" s="118"/>
    </row>
    <row r="481" spans="1:9" ht="12.75" customHeight="1" x14ac:dyDescent="0.2">
      <c r="A481" s="118"/>
      <c r="B481" s="118"/>
      <c r="C481" s="118"/>
      <c r="D481" s="118"/>
      <c r="E481" s="118"/>
      <c r="F481" s="118"/>
      <c r="G481" s="118"/>
      <c r="H481" s="118"/>
      <c r="I481" s="118"/>
    </row>
    <row r="482" spans="1:9" ht="12.75" customHeight="1" x14ac:dyDescent="0.2">
      <c r="A482" s="118"/>
      <c r="B482" s="118"/>
      <c r="C482" s="118"/>
      <c r="D482" s="118"/>
      <c r="E482" s="118"/>
      <c r="F482" s="118"/>
      <c r="G482" s="118"/>
      <c r="H482" s="118"/>
      <c r="I482" s="118"/>
    </row>
    <row r="483" spans="1:9" ht="12.75" customHeight="1" x14ac:dyDescent="0.2">
      <c r="A483" s="118"/>
      <c r="B483" s="118"/>
      <c r="C483" s="118"/>
      <c r="D483" s="118"/>
      <c r="E483" s="118"/>
      <c r="F483" s="118"/>
      <c r="G483" s="118"/>
      <c r="H483" s="118"/>
      <c r="I483" s="118"/>
    </row>
    <row r="484" spans="1:9" ht="12.75" customHeight="1" x14ac:dyDescent="0.2">
      <c r="A484" s="118"/>
      <c r="B484" s="118"/>
      <c r="C484" s="118"/>
      <c r="D484" s="118"/>
      <c r="E484" s="118"/>
      <c r="F484" s="118"/>
      <c r="G484" s="118"/>
      <c r="H484" s="118"/>
      <c r="I484" s="118"/>
    </row>
    <row r="485" spans="1:9" ht="12.75" customHeight="1" x14ac:dyDescent="0.2">
      <c r="A485" s="118"/>
      <c r="B485" s="118"/>
      <c r="C485" s="118"/>
      <c r="D485" s="118"/>
      <c r="E485" s="118"/>
      <c r="F485" s="118"/>
      <c r="G485" s="118"/>
      <c r="H485" s="118"/>
      <c r="I485" s="118"/>
    </row>
    <row r="486" spans="1:9" ht="12.75" customHeight="1" x14ac:dyDescent="0.2">
      <c r="A486" s="118"/>
      <c r="B486" s="118"/>
      <c r="C486" s="118"/>
      <c r="D486" s="118"/>
      <c r="E486" s="118"/>
      <c r="F486" s="118"/>
      <c r="G486" s="118"/>
      <c r="H486" s="118"/>
      <c r="I486" s="118"/>
    </row>
    <row r="487" spans="1:9" ht="12.75" customHeight="1" x14ac:dyDescent="0.2">
      <c r="A487" s="118"/>
      <c r="B487" s="118"/>
      <c r="C487" s="118"/>
      <c r="D487" s="118"/>
      <c r="E487" s="118"/>
      <c r="F487" s="118"/>
      <c r="G487" s="118"/>
      <c r="H487" s="118"/>
      <c r="I487" s="118"/>
    </row>
    <row r="488" spans="1:9" ht="12.75" customHeight="1" x14ac:dyDescent="0.2">
      <c r="A488" s="118"/>
      <c r="B488" s="118"/>
      <c r="C488" s="118"/>
      <c r="D488" s="118"/>
      <c r="E488" s="118"/>
      <c r="F488" s="118"/>
      <c r="G488" s="118"/>
      <c r="H488" s="118"/>
      <c r="I488" s="118"/>
    </row>
    <row r="489" spans="1:9" ht="12.75" customHeight="1" x14ac:dyDescent="0.2">
      <c r="A489" s="118"/>
      <c r="B489" s="118"/>
      <c r="C489" s="118"/>
      <c r="D489" s="118"/>
      <c r="E489" s="118"/>
      <c r="F489" s="118"/>
      <c r="G489" s="118"/>
      <c r="H489" s="118"/>
      <c r="I489" s="118"/>
    </row>
    <row r="490" spans="1:9" ht="12.75" customHeight="1" x14ac:dyDescent="0.2">
      <c r="A490" s="118"/>
      <c r="B490" s="118"/>
      <c r="C490" s="118"/>
      <c r="D490" s="118"/>
      <c r="E490" s="118"/>
      <c r="F490" s="118"/>
      <c r="G490" s="118"/>
      <c r="H490" s="118"/>
      <c r="I490" s="118"/>
    </row>
    <row r="491" spans="1:9" ht="12.75" customHeight="1" x14ac:dyDescent="0.2">
      <c r="A491" s="118"/>
      <c r="B491" s="118"/>
      <c r="C491" s="118"/>
      <c r="D491" s="118"/>
      <c r="E491" s="118"/>
      <c r="F491" s="118"/>
      <c r="G491" s="118"/>
      <c r="H491" s="118"/>
      <c r="I491" s="118"/>
    </row>
    <row r="492" spans="1:9" ht="12.75" customHeight="1" x14ac:dyDescent="0.2">
      <c r="A492" s="118"/>
      <c r="B492" s="118"/>
      <c r="C492" s="118"/>
      <c r="D492" s="118"/>
      <c r="E492" s="118"/>
      <c r="F492" s="118"/>
      <c r="G492" s="118"/>
      <c r="H492" s="118"/>
      <c r="I492" s="118"/>
    </row>
    <row r="493" spans="1:9" ht="12.75" customHeight="1" x14ac:dyDescent="0.2">
      <c r="A493" s="118"/>
      <c r="B493" s="118"/>
      <c r="C493" s="118"/>
      <c r="D493" s="118"/>
      <c r="E493" s="118"/>
      <c r="F493" s="118"/>
      <c r="G493" s="118"/>
      <c r="H493" s="118"/>
      <c r="I493" s="118"/>
    </row>
    <row r="494" spans="1:9" ht="12.75" customHeight="1" x14ac:dyDescent="0.2">
      <c r="A494" s="118"/>
      <c r="B494" s="118"/>
      <c r="C494" s="118"/>
      <c r="D494" s="118"/>
      <c r="E494" s="118"/>
      <c r="F494" s="118"/>
      <c r="G494" s="118"/>
      <c r="H494" s="118"/>
      <c r="I494" s="118"/>
    </row>
    <row r="495" spans="1:9" ht="12.75" customHeight="1" x14ac:dyDescent="0.2">
      <c r="A495" s="118"/>
      <c r="B495" s="118"/>
      <c r="C495" s="118"/>
      <c r="D495" s="118"/>
      <c r="E495" s="118"/>
      <c r="F495" s="118"/>
      <c r="G495" s="118"/>
      <c r="H495" s="118"/>
      <c r="I495" s="118"/>
    </row>
    <row r="496" spans="1:9" ht="12.75" customHeight="1" x14ac:dyDescent="0.2">
      <c r="A496" s="118"/>
      <c r="B496" s="118"/>
      <c r="C496" s="118"/>
      <c r="D496" s="118"/>
      <c r="E496" s="118"/>
      <c r="F496" s="118"/>
      <c r="G496" s="118"/>
      <c r="H496" s="118"/>
      <c r="I496" s="118"/>
    </row>
    <row r="497" spans="1:9" ht="12.75" customHeight="1" x14ac:dyDescent="0.2">
      <c r="A497" s="118"/>
      <c r="B497" s="118"/>
      <c r="C497" s="118"/>
      <c r="D497" s="118"/>
      <c r="E497" s="118"/>
      <c r="F497" s="118"/>
      <c r="G497" s="118"/>
      <c r="H497" s="118"/>
      <c r="I497" s="118"/>
    </row>
    <row r="498" spans="1:9" ht="12.75" customHeight="1" x14ac:dyDescent="0.2">
      <c r="A498" s="118"/>
      <c r="B498" s="118"/>
      <c r="C498" s="118"/>
      <c r="D498" s="118"/>
      <c r="E498" s="118"/>
      <c r="F498" s="118"/>
      <c r="G498" s="118"/>
      <c r="H498" s="118"/>
      <c r="I498" s="118"/>
    </row>
    <row r="499" spans="1:9" ht="12.75" customHeight="1" x14ac:dyDescent="0.2">
      <c r="A499" s="118"/>
      <c r="B499" s="118"/>
      <c r="C499" s="118"/>
      <c r="D499" s="118"/>
      <c r="E499" s="118"/>
      <c r="F499" s="118"/>
      <c r="G499" s="118"/>
      <c r="H499" s="118"/>
      <c r="I499" s="118"/>
    </row>
    <row r="500" spans="1:9" ht="12.75" customHeight="1" x14ac:dyDescent="0.2">
      <c r="A500" s="118"/>
      <c r="B500" s="118"/>
      <c r="C500" s="118"/>
      <c r="D500" s="118"/>
      <c r="E500" s="118"/>
      <c r="F500" s="118"/>
      <c r="G500" s="118"/>
      <c r="H500" s="118"/>
      <c r="I500" s="118"/>
    </row>
    <row r="501" spans="1:9" ht="12.75" customHeight="1" x14ac:dyDescent="0.2">
      <c r="A501" s="118"/>
      <c r="B501" s="118"/>
      <c r="C501" s="118"/>
      <c r="D501" s="118"/>
      <c r="E501" s="118"/>
      <c r="F501" s="118"/>
      <c r="G501" s="118"/>
      <c r="H501" s="118"/>
      <c r="I501" s="118"/>
    </row>
    <row r="502" spans="1:9" ht="12.75" customHeight="1" x14ac:dyDescent="0.2">
      <c r="A502" s="118"/>
      <c r="B502" s="118"/>
      <c r="C502" s="118"/>
      <c r="D502" s="118"/>
      <c r="E502" s="118"/>
      <c r="F502" s="118"/>
      <c r="G502" s="118"/>
      <c r="H502" s="118"/>
      <c r="I502" s="118"/>
    </row>
    <row r="503" spans="1:9" ht="12.75" customHeight="1" x14ac:dyDescent="0.2">
      <c r="A503" s="118"/>
      <c r="B503" s="118"/>
      <c r="C503" s="118"/>
      <c r="D503" s="118"/>
      <c r="E503" s="118"/>
      <c r="F503" s="118"/>
      <c r="G503" s="118"/>
      <c r="H503" s="118"/>
      <c r="I503" s="118"/>
    </row>
    <row r="504" spans="1:9" ht="12.75" customHeight="1" x14ac:dyDescent="0.2">
      <c r="A504" s="118"/>
      <c r="B504" s="118"/>
      <c r="C504" s="118"/>
      <c r="D504" s="118"/>
      <c r="E504" s="118"/>
      <c r="F504" s="118"/>
      <c r="G504" s="118"/>
      <c r="H504" s="118"/>
      <c r="I504" s="118"/>
    </row>
    <row r="505" spans="1:9" ht="12.75" customHeight="1" x14ac:dyDescent="0.2">
      <c r="A505" s="118"/>
      <c r="B505" s="118"/>
      <c r="C505" s="118"/>
      <c r="D505" s="118"/>
      <c r="E505" s="118"/>
      <c r="F505" s="118"/>
      <c r="G505" s="118"/>
      <c r="H505" s="118"/>
      <c r="I505" s="118"/>
    </row>
    <row r="506" spans="1:9" ht="12.75" customHeight="1" x14ac:dyDescent="0.2">
      <c r="A506" s="118"/>
      <c r="B506" s="118"/>
      <c r="C506" s="118"/>
      <c r="D506" s="118"/>
      <c r="E506" s="118"/>
      <c r="F506" s="118"/>
      <c r="G506" s="118"/>
      <c r="H506" s="118"/>
      <c r="I506" s="118"/>
    </row>
    <row r="507" spans="1:9" ht="12.75" customHeight="1" x14ac:dyDescent="0.2">
      <c r="A507" s="118"/>
      <c r="B507" s="118"/>
      <c r="C507" s="118"/>
      <c r="D507" s="118"/>
      <c r="E507" s="118"/>
      <c r="F507" s="118"/>
      <c r="G507" s="118"/>
      <c r="H507" s="118"/>
      <c r="I507" s="118"/>
    </row>
    <row r="508" spans="1:9" ht="12.75" customHeight="1" x14ac:dyDescent="0.2">
      <c r="A508" s="118"/>
      <c r="B508" s="118"/>
      <c r="C508" s="118"/>
      <c r="D508" s="118"/>
      <c r="E508" s="118"/>
      <c r="F508" s="118"/>
      <c r="G508" s="118"/>
      <c r="H508" s="118"/>
      <c r="I508" s="118"/>
    </row>
    <row r="509" spans="1:9" ht="12.75" customHeight="1" x14ac:dyDescent="0.2">
      <c r="A509" s="118"/>
      <c r="B509" s="118"/>
      <c r="C509" s="118"/>
      <c r="D509" s="118"/>
      <c r="E509" s="118"/>
      <c r="F509" s="118"/>
      <c r="G509" s="118"/>
      <c r="H509" s="118"/>
      <c r="I509" s="118"/>
    </row>
    <row r="510" spans="1:9" ht="12.75" customHeight="1" x14ac:dyDescent="0.2">
      <c r="A510" s="118"/>
      <c r="B510" s="118"/>
      <c r="C510" s="118"/>
      <c r="D510" s="118"/>
      <c r="E510" s="118"/>
      <c r="F510" s="118"/>
      <c r="G510" s="118"/>
      <c r="H510" s="118"/>
      <c r="I510" s="118"/>
    </row>
    <row r="511" spans="1:9" ht="12.75" customHeight="1" x14ac:dyDescent="0.2">
      <c r="A511" s="118"/>
      <c r="B511" s="118"/>
      <c r="C511" s="118"/>
      <c r="D511" s="118"/>
      <c r="E511" s="118"/>
      <c r="F511" s="118"/>
      <c r="G511" s="118"/>
      <c r="H511" s="118"/>
      <c r="I511" s="118"/>
    </row>
    <row r="512" spans="1:9" ht="12.75" customHeight="1" x14ac:dyDescent="0.2">
      <c r="A512" s="118"/>
      <c r="B512" s="118"/>
      <c r="C512" s="118"/>
      <c r="D512" s="118"/>
      <c r="E512" s="118"/>
      <c r="F512" s="118"/>
      <c r="G512" s="118"/>
      <c r="H512" s="118"/>
      <c r="I512" s="118"/>
    </row>
    <row r="513" spans="1:9" ht="12.75" customHeight="1" x14ac:dyDescent="0.2">
      <c r="A513" s="118"/>
      <c r="B513" s="118"/>
      <c r="C513" s="118"/>
      <c r="D513" s="118"/>
      <c r="E513" s="118"/>
      <c r="F513" s="118"/>
      <c r="G513" s="118"/>
      <c r="H513" s="118"/>
      <c r="I513" s="118"/>
    </row>
    <row r="514" spans="1:9" ht="12.75" customHeight="1" x14ac:dyDescent="0.2">
      <c r="A514" s="118"/>
      <c r="B514" s="118"/>
      <c r="C514" s="118"/>
      <c r="D514" s="118"/>
      <c r="E514" s="118"/>
      <c r="F514" s="118"/>
      <c r="G514" s="118"/>
      <c r="H514" s="118"/>
      <c r="I514" s="118"/>
    </row>
    <row r="515" spans="1:9" ht="12.75" customHeight="1" x14ac:dyDescent="0.2">
      <c r="A515" s="118"/>
      <c r="B515" s="118"/>
      <c r="C515" s="118"/>
      <c r="D515" s="118"/>
      <c r="E515" s="118"/>
      <c r="F515" s="118"/>
      <c r="G515" s="118"/>
      <c r="H515" s="118"/>
      <c r="I515" s="118"/>
    </row>
    <row r="516" spans="1:9" ht="12.75" customHeight="1" x14ac:dyDescent="0.2">
      <c r="A516" s="118"/>
      <c r="B516" s="118"/>
      <c r="C516" s="118"/>
      <c r="D516" s="118"/>
      <c r="E516" s="118"/>
      <c r="F516" s="118"/>
      <c r="G516" s="118"/>
      <c r="H516" s="118"/>
      <c r="I516" s="118"/>
    </row>
    <row r="517" spans="1:9" ht="12.75" customHeight="1" x14ac:dyDescent="0.2">
      <c r="A517" s="118"/>
      <c r="B517" s="118"/>
      <c r="C517" s="118"/>
      <c r="D517" s="118"/>
      <c r="E517" s="118"/>
      <c r="F517" s="118"/>
      <c r="G517" s="118"/>
      <c r="H517" s="118"/>
      <c r="I517" s="118"/>
    </row>
    <row r="518" spans="1:9" ht="12.75" customHeight="1" x14ac:dyDescent="0.2">
      <c r="A518" s="118"/>
      <c r="B518" s="118"/>
      <c r="C518" s="118"/>
      <c r="D518" s="118"/>
      <c r="E518" s="118"/>
      <c r="F518" s="118"/>
      <c r="G518" s="118"/>
      <c r="H518" s="118"/>
      <c r="I518" s="118"/>
    </row>
    <row r="519" spans="1:9" ht="12.75" customHeight="1" x14ac:dyDescent="0.2">
      <c r="A519" s="118"/>
      <c r="B519" s="118"/>
      <c r="C519" s="118"/>
      <c r="D519" s="118"/>
      <c r="E519" s="118"/>
      <c r="F519" s="118"/>
      <c r="G519" s="118"/>
      <c r="H519" s="118"/>
      <c r="I519" s="118"/>
    </row>
    <row r="520" spans="1:9" ht="12.75" customHeight="1" x14ac:dyDescent="0.2">
      <c r="A520" s="118"/>
      <c r="B520" s="118"/>
      <c r="C520" s="118"/>
      <c r="D520" s="118"/>
      <c r="E520" s="118"/>
      <c r="F520" s="118"/>
      <c r="G520" s="118"/>
      <c r="H520" s="118"/>
      <c r="I520" s="118"/>
    </row>
    <row r="521" spans="1:9" ht="12.75" customHeight="1" x14ac:dyDescent="0.2">
      <c r="A521" s="118"/>
      <c r="B521" s="118"/>
      <c r="C521" s="118"/>
      <c r="D521" s="118"/>
      <c r="E521" s="118"/>
      <c r="F521" s="118"/>
      <c r="G521" s="118"/>
      <c r="H521" s="118"/>
      <c r="I521" s="118"/>
    </row>
    <row r="522" spans="1:9" ht="12.75" customHeight="1" x14ac:dyDescent="0.2">
      <c r="A522" s="118"/>
      <c r="B522" s="118"/>
      <c r="C522" s="118"/>
      <c r="D522" s="118"/>
      <c r="E522" s="118"/>
      <c r="F522" s="118"/>
      <c r="G522" s="118"/>
      <c r="H522" s="118"/>
      <c r="I522" s="118"/>
    </row>
    <row r="523" spans="1:9" ht="12.75" customHeight="1" x14ac:dyDescent="0.2">
      <c r="A523" s="118"/>
      <c r="B523" s="118"/>
      <c r="C523" s="118"/>
      <c r="D523" s="118"/>
      <c r="E523" s="118"/>
      <c r="F523" s="118"/>
      <c r="G523" s="118"/>
      <c r="H523" s="118"/>
      <c r="I523" s="118"/>
    </row>
    <row r="524" spans="1:9" ht="12.75" customHeight="1" x14ac:dyDescent="0.2">
      <c r="A524" s="118"/>
      <c r="B524" s="118"/>
      <c r="C524" s="118"/>
      <c r="D524" s="118"/>
      <c r="E524" s="118"/>
      <c r="F524" s="118"/>
      <c r="G524" s="118"/>
      <c r="H524" s="118"/>
      <c r="I524" s="118"/>
    </row>
    <row r="525" spans="1:9" ht="12.75" customHeight="1" x14ac:dyDescent="0.2">
      <c r="A525" s="118"/>
      <c r="B525" s="118"/>
      <c r="C525" s="118"/>
      <c r="D525" s="118"/>
      <c r="E525" s="118"/>
      <c r="F525" s="118"/>
      <c r="G525" s="118"/>
      <c r="H525" s="118"/>
      <c r="I525" s="118"/>
    </row>
    <row r="526" spans="1:9" ht="12.75" customHeight="1" x14ac:dyDescent="0.2">
      <c r="A526" s="118"/>
      <c r="B526" s="118"/>
      <c r="C526" s="118"/>
      <c r="D526" s="118"/>
      <c r="E526" s="118"/>
      <c r="F526" s="118"/>
      <c r="G526" s="118"/>
      <c r="H526" s="118"/>
      <c r="I526" s="118"/>
    </row>
    <row r="527" spans="1:9" ht="12.75" customHeight="1" x14ac:dyDescent="0.2">
      <c r="A527" s="118"/>
      <c r="B527" s="118"/>
      <c r="C527" s="118"/>
      <c r="D527" s="118"/>
      <c r="E527" s="118"/>
      <c r="F527" s="118"/>
      <c r="G527" s="118"/>
      <c r="H527" s="118"/>
      <c r="I527" s="118"/>
    </row>
    <row r="528" spans="1:9" ht="12.75" customHeight="1" x14ac:dyDescent="0.2">
      <c r="A528" s="118"/>
      <c r="B528" s="118"/>
      <c r="C528" s="118"/>
      <c r="D528" s="118"/>
      <c r="E528" s="118"/>
      <c r="F528" s="118"/>
      <c r="G528" s="118"/>
      <c r="H528" s="118"/>
      <c r="I528" s="118"/>
    </row>
    <row r="529" spans="1:9" ht="12.75" customHeight="1" x14ac:dyDescent="0.2">
      <c r="A529" s="118"/>
      <c r="B529" s="118"/>
      <c r="C529" s="118"/>
      <c r="D529" s="118"/>
      <c r="E529" s="118"/>
      <c r="F529" s="118"/>
      <c r="G529" s="118"/>
      <c r="H529" s="118"/>
      <c r="I529" s="118"/>
    </row>
  </sheetData>
  <mergeCells count="1">
    <mergeCell ref="A1:H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5"/>
  <sheetViews>
    <sheetView zoomScale="70" zoomScaleNormal="70" workbookViewId="0">
      <selection activeCell="K22" sqref="K22"/>
    </sheetView>
  </sheetViews>
  <sheetFormatPr defaultColWidth="17.140625" defaultRowHeight="12.75" customHeight="1" x14ac:dyDescent="0.2"/>
  <cols>
    <col min="1" max="1" width="32.140625" customWidth="1"/>
    <col min="9" max="25" width="10.85546875" customWidth="1"/>
  </cols>
  <sheetData>
    <row r="1" spans="1:10" ht="12.75" customHeight="1" x14ac:dyDescent="0.2">
      <c r="A1" s="462" t="s">
        <v>192</v>
      </c>
      <c r="B1" s="463"/>
      <c r="C1" s="464"/>
      <c r="D1" s="464"/>
      <c r="E1" s="464"/>
      <c r="F1" s="464"/>
      <c r="G1" s="464"/>
      <c r="H1" s="465"/>
      <c r="I1" s="92"/>
    </row>
    <row r="2" spans="1:10" ht="12.75" customHeight="1" x14ac:dyDescent="0.2">
      <c r="A2" s="148" t="s">
        <v>4</v>
      </c>
      <c r="B2" s="149">
        <v>2011</v>
      </c>
      <c r="C2" s="149">
        <v>2012</v>
      </c>
      <c r="D2" s="152" t="s">
        <v>127</v>
      </c>
      <c r="E2" s="152" t="s">
        <v>128</v>
      </c>
      <c r="F2" s="152" t="s">
        <v>129</v>
      </c>
      <c r="G2" s="152" t="s">
        <v>130</v>
      </c>
      <c r="H2" s="153" t="s">
        <v>131</v>
      </c>
      <c r="I2" s="92"/>
      <c r="J2" s="80"/>
    </row>
    <row r="3" spans="1:10" ht="12.75" customHeight="1" x14ac:dyDescent="0.2">
      <c r="A3" s="160" t="s">
        <v>193</v>
      </c>
      <c r="B3" s="24"/>
      <c r="C3" s="24"/>
      <c r="D3" s="73"/>
      <c r="E3" s="73"/>
      <c r="F3" s="73"/>
      <c r="G3" s="73"/>
      <c r="H3" s="62"/>
      <c r="I3" s="92"/>
    </row>
    <row r="4" spans="1:10" ht="12.75" customHeight="1" x14ac:dyDescent="0.2">
      <c r="A4" s="117" t="s">
        <v>194</v>
      </c>
      <c r="B4" s="24"/>
      <c r="C4" s="24"/>
      <c r="D4" s="73"/>
      <c r="E4" s="73"/>
      <c r="F4" s="73"/>
      <c r="G4" s="73"/>
      <c r="H4" s="62"/>
      <c r="I4" s="92"/>
    </row>
    <row r="5" spans="1:10" ht="12.75" customHeight="1" x14ac:dyDescent="0.2">
      <c r="A5" s="161" t="s">
        <v>195</v>
      </c>
      <c r="B5" s="24"/>
      <c r="C5" s="24"/>
      <c r="D5" s="73"/>
      <c r="E5" s="73"/>
      <c r="F5" s="73"/>
      <c r="G5" s="73"/>
      <c r="H5" s="62"/>
      <c r="I5" s="92"/>
    </row>
    <row r="6" spans="1:10" ht="12.75" customHeight="1" x14ac:dyDescent="0.2">
      <c r="A6" s="126" t="s">
        <v>145</v>
      </c>
      <c r="B6" s="24">
        <v>13003</v>
      </c>
      <c r="C6" s="24">
        <v>12652</v>
      </c>
      <c r="D6" s="73">
        <f>Investment!C6</f>
        <v>14043.72</v>
      </c>
      <c r="E6" s="73">
        <f>Investment!D6</f>
        <v>13903.282800000001</v>
      </c>
      <c r="F6" s="73">
        <f>Investment!E6</f>
        <v>14181.348456000002</v>
      </c>
      <c r="G6" s="73">
        <f>Investment!F6</f>
        <v>14464.975425120003</v>
      </c>
      <c r="H6" s="62">
        <f>Investment!G6</f>
        <v>14754.274933622402</v>
      </c>
      <c r="I6" s="92"/>
    </row>
    <row r="7" spans="1:10" ht="12.75" customHeight="1" x14ac:dyDescent="0.2">
      <c r="A7" s="126" t="s">
        <v>146</v>
      </c>
      <c r="B7" s="24">
        <v>14988</v>
      </c>
      <c r="C7" s="24">
        <v>22848</v>
      </c>
      <c r="D7" s="73">
        <f>Investment!C13</f>
        <v>34843.199999999997</v>
      </c>
      <c r="E7" s="73">
        <f>Investment!D13</f>
        <v>33972.119999999995</v>
      </c>
      <c r="F7" s="73">
        <f>Investment!E13</f>
        <v>33122.816999999995</v>
      </c>
      <c r="G7" s="73">
        <f>Investment!F13</f>
        <v>31632.290235</v>
      </c>
      <c r="H7" s="62">
        <f>Investment!G13</f>
        <v>30208.837174425007</v>
      </c>
      <c r="I7" s="92"/>
    </row>
    <row r="8" spans="1:10" ht="12.75" customHeight="1" x14ac:dyDescent="0.2">
      <c r="A8" s="126" t="s">
        <v>147</v>
      </c>
      <c r="B8" s="24">
        <v>373</v>
      </c>
      <c r="C8" s="24">
        <v>502</v>
      </c>
      <c r="D8" s="73">
        <f>Investment!C20</f>
        <v>512.04</v>
      </c>
      <c r="E8" s="73">
        <f>Investment!D20</f>
        <v>476.19719999999995</v>
      </c>
      <c r="F8" s="73">
        <f>Investment!E20</f>
        <v>452.38733999999994</v>
      </c>
      <c r="G8" s="73">
        <f>Investment!F20</f>
        <v>429.76797299999998</v>
      </c>
      <c r="H8" s="62">
        <f>Investment!G20</f>
        <v>408.27957435000002</v>
      </c>
      <c r="I8" s="92"/>
    </row>
    <row r="9" spans="1:10" ht="12.75" customHeight="1" x14ac:dyDescent="0.2">
      <c r="A9" s="157" t="s">
        <v>172</v>
      </c>
      <c r="B9" s="41">
        <v>1179</v>
      </c>
      <c r="C9" s="41">
        <v>2606</v>
      </c>
      <c r="D9" s="57">
        <f>Investment!C27</f>
        <v>2136.92</v>
      </c>
      <c r="E9" s="57">
        <f>Investment!D27</f>
        <v>1559.9515999999999</v>
      </c>
      <c r="F9" s="57">
        <f>Investment!E27</f>
        <v>1216.762248</v>
      </c>
      <c r="G9" s="57">
        <f>Investment!F27</f>
        <v>949.07455344000005</v>
      </c>
      <c r="H9" s="82">
        <f>Investment!G27</f>
        <v>740.27815168320012</v>
      </c>
      <c r="I9" s="92"/>
    </row>
    <row r="10" spans="1:10" ht="12.75" customHeight="1" x14ac:dyDescent="0.2">
      <c r="A10" s="156"/>
      <c r="B10" s="86">
        <f t="shared" ref="B10:H10" si="0">SUM(B6:B9)</f>
        <v>29543</v>
      </c>
      <c r="C10" s="86">
        <f t="shared" si="0"/>
        <v>38608</v>
      </c>
      <c r="D10" s="104">
        <f t="shared" si="0"/>
        <v>51535.88</v>
      </c>
      <c r="E10" s="104">
        <f t="shared" si="0"/>
        <v>49911.551599999999</v>
      </c>
      <c r="F10" s="104">
        <f t="shared" si="0"/>
        <v>48973.315043999995</v>
      </c>
      <c r="G10" s="104">
        <f t="shared" si="0"/>
        <v>47476.108186559999</v>
      </c>
      <c r="H10" s="74">
        <f t="shared" si="0"/>
        <v>46111.669834080618</v>
      </c>
      <c r="I10" s="92"/>
    </row>
    <row r="11" spans="1:10" ht="12.75" customHeight="1" x14ac:dyDescent="0.2">
      <c r="A11" s="126" t="s">
        <v>149</v>
      </c>
      <c r="B11" s="24">
        <v>187</v>
      </c>
      <c r="C11" s="24">
        <v>57</v>
      </c>
      <c r="D11" s="73">
        <f>Investment!C34</f>
        <v>54.72</v>
      </c>
      <c r="E11" s="73">
        <f>Investment!D34</f>
        <v>48.700799999999994</v>
      </c>
      <c r="F11" s="73">
        <f>Investment!E34</f>
        <v>45.77875199999999</v>
      </c>
      <c r="G11" s="73">
        <f>Investment!F34</f>
        <v>43.032026879999989</v>
      </c>
      <c r="H11" s="62">
        <f>Investment!G34</f>
        <v>40.450105267199987</v>
      </c>
      <c r="I11" s="92"/>
    </row>
    <row r="12" spans="1:10" ht="12.75" customHeight="1" x14ac:dyDescent="0.2">
      <c r="A12" s="126" t="s">
        <v>196</v>
      </c>
      <c r="B12" s="24">
        <v>0</v>
      </c>
      <c r="C12" s="24">
        <v>0</v>
      </c>
      <c r="D12" s="73">
        <v>0</v>
      </c>
      <c r="E12" s="73">
        <v>0</v>
      </c>
      <c r="F12" s="73">
        <v>0</v>
      </c>
      <c r="G12" s="73">
        <v>0</v>
      </c>
      <c r="H12" s="62">
        <v>0</v>
      </c>
      <c r="I12" s="92" t="s">
        <v>197</v>
      </c>
    </row>
    <row r="13" spans="1:10" ht="12.75" customHeight="1" x14ac:dyDescent="0.2">
      <c r="A13" s="157" t="s">
        <v>198</v>
      </c>
      <c r="B13" s="41">
        <v>29</v>
      </c>
      <c r="C13" s="41">
        <v>165</v>
      </c>
      <c r="D13" s="57">
        <f>C13*(1+Inputs!B46)</f>
        <v>165</v>
      </c>
      <c r="E13" s="57">
        <f>D13*(1+Inputs!C46)</f>
        <v>165</v>
      </c>
      <c r="F13" s="57">
        <f>E13*(1+Inputs!D46)</f>
        <v>165</v>
      </c>
      <c r="G13" s="57">
        <f>F13*(1+Inputs!E46)</f>
        <v>165</v>
      </c>
      <c r="H13" s="82">
        <f>G13*(1+Inputs!F46)</f>
        <v>165</v>
      </c>
      <c r="I13" s="92"/>
    </row>
    <row r="14" spans="1:10" ht="12.75" customHeight="1" x14ac:dyDescent="0.2">
      <c r="A14" s="159"/>
      <c r="B14" s="86">
        <f t="shared" ref="B14:H14" si="1">SUM(B13,B12,B11,B10)</f>
        <v>29759</v>
      </c>
      <c r="C14" s="86">
        <f t="shared" si="1"/>
        <v>38830</v>
      </c>
      <c r="D14" s="104">
        <f t="shared" si="1"/>
        <v>51755.6</v>
      </c>
      <c r="E14" s="104">
        <f t="shared" si="1"/>
        <v>50125.252399999998</v>
      </c>
      <c r="F14" s="104">
        <f t="shared" si="1"/>
        <v>49184.093795999994</v>
      </c>
      <c r="G14" s="104">
        <f t="shared" si="1"/>
        <v>47684.140213439998</v>
      </c>
      <c r="H14" s="74">
        <f t="shared" si="1"/>
        <v>46317.119939347816</v>
      </c>
      <c r="I14" s="92"/>
    </row>
    <row r="15" spans="1:10" ht="12.75" customHeight="1" x14ac:dyDescent="0.2">
      <c r="A15" s="117" t="s">
        <v>199</v>
      </c>
      <c r="B15" s="24"/>
      <c r="C15" s="24"/>
      <c r="D15" s="73"/>
      <c r="E15" s="73"/>
      <c r="F15" s="73"/>
      <c r="G15" s="73"/>
      <c r="H15" s="62"/>
      <c r="I15" s="92"/>
    </row>
    <row r="16" spans="1:10" ht="12.75" customHeight="1" x14ac:dyDescent="0.2">
      <c r="A16" s="126" t="s">
        <v>87</v>
      </c>
      <c r="B16" s="24">
        <v>13997</v>
      </c>
      <c r="C16" s="24">
        <f>'Source Data'!E65</f>
        <v>18417</v>
      </c>
      <c r="D16" s="73">
        <f>C16*(1+Inputs!B39)</f>
        <v>15654.449999999999</v>
      </c>
      <c r="E16" s="73">
        <f>D16*(1+Inputs!C39)</f>
        <v>14871.727499999999</v>
      </c>
      <c r="F16" s="73">
        <f>E16*(1+Inputs!D39)</f>
        <v>14128.141124999998</v>
      </c>
      <c r="G16" s="73">
        <f>F16*(1+Inputs!E39)</f>
        <v>13421.734068749998</v>
      </c>
      <c r="H16" s="62">
        <f>G16*(1+Inputs!F39)</f>
        <v>12750.647365312498</v>
      </c>
      <c r="I16" s="92"/>
    </row>
    <row r="17" spans="1:18" ht="12.75" customHeight="1" x14ac:dyDescent="0.2">
      <c r="A17" s="126" t="s">
        <v>88</v>
      </c>
      <c r="B17" s="24">
        <v>18186</v>
      </c>
      <c r="C17" s="24">
        <f>'Source Data'!F65</f>
        <v>12421</v>
      </c>
      <c r="D17" s="73">
        <f>(SUM(IS!D4:D6)*Inputs!B29)/365</f>
        <v>15095.336332465746</v>
      </c>
      <c r="E17" s="73">
        <f>(SUM(IS!E4:E6)*Inputs!C29)/365</f>
        <v>15356.979212953715</v>
      </c>
      <c r="F17" s="73">
        <f>(SUM(IS!F4:F6)*Inputs!D29)/365</f>
        <v>16042.921069421946</v>
      </c>
      <c r="G17" s="73">
        <f>(SUM(IS!G4:G6)*Inputs!E29)/365</f>
        <v>16542.42253720283</v>
      </c>
      <c r="H17" s="62">
        <f>(SUM(IS!H4:H6)*Inputs!F29)/365</f>
        <v>17107.305393478007</v>
      </c>
      <c r="I17" s="92"/>
    </row>
    <row r="18" spans="1:18" ht="12.75" customHeight="1" x14ac:dyDescent="0.2">
      <c r="A18" s="126" t="s">
        <v>159</v>
      </c>
      <c r="B18" s="24">
        <v>49101</v>
      </c>
      <c r="C18" s="24">
        <v>21377</v>
      </c>
      <c r="D18" s="120">
        <f>C18*(1+Inputs!B37)</f>
        <v>13895.050000000001</v>
      </c>
      <c r="E18" s="120">
        <f>D18*(1+Inputs!C37)</f>
        <v>12505.545000000002</v>
      </c>
      <c r="F18" s="120">
        <f>E18*(1+Inputs!D37)</f>
        <v>11254.990500000002</v>
      </c>
      <c r="G18" s="120">
        <f>F18*(1+Inputs!E37)</f>
        <v>10129.491450000001</v>
      </c>
      <c r="H18" s="122">
        <f>G18*(1+Inputs!F37)</f>
        <v>9116.5423050000009</v>
      </c>
      <c r="I18" s="92"/>
    </row>
    <row r="19" spans="1:18" ht="12.75" customHeight="1" x14ac:dyDescent="0.2">
      <c r="A19" s="126" t="s">
        <v>89</v>
      </c>
      <c r="B19" s="24">
        <v>3112</v>
      </c>
      <c r="C19" s="24">
        <v>4287</v>
      </c>
      <c r="D19" s="120">
        <f>C19*(1+Inputs!B38)</f>
        <v>4201.26</v>
      </c>
      <c r="E19" s="120">
        <f>D19*(1+Inputs!C38)</f>
        <v>4411.3230000000003</v>
      </c>
      <c r="F19" s="120">
        <f>E19*(1+Inputs!D38)</f>
        <v>4631.8891500000009</v>
      </c>
      <c r="G19" s="120">
        <f>F19*(1+Inputs!E38)</f>
        <v>4863.4836075000012</v>
      </c>
      <c r="H19" s="122">
        <f>G19*(1+Inputs!F38)</f>
        <v>5106.6577878750013</v>
      </c>
      <c r="I19" s="92"/>
      <c r="J19" s="450"/>
      <c r="K19" s="450"/>
      <c r="L19" s="450"/>
      <c r="M19" s="450"/>
      <c r="N19" s="450"/>
      <c r="O19" s="450"/>
      <c r="P19" s="450"/>
    </row>
    <row r="20" spans="1:18" ht="12.75" customHeight="1" x14ac:dyDescent="0.2">
      <c r="A20" s="157" t="s">
        <v>200</v>
      </c>
      <c r="B20" s="41">
        <v>1906</v>
      </c>
      <c r="C20" s="41">
        <f>'Source Data'!I65</f>
        <v>3171</v>
      </c>
      <c r="D20" s="167">
        <f>CF!C29</f>
        <v>3376.2500035499397</v>
      </c>
      <c r="E20" s="167">
        <f>CF!D29</f>
        <v>7462.600967748167</v>
      </c>
      <c r="F20" s="167">
        <f>CF!E29</f>
        <v>11292.836540579832</v>
      </c>
      <c r="G20" s="167">
        <f>CF!F29</f>
        <v>10905.93454808812</v>
      </c>
      <c r="H20" s="168">
        <f>CF!G29</f>
        <v>10387.465461720847</v>
      </c>
      <c r="I20" s="92"/>
      <c r="J20" s="450"/>
      <c r="K20" s="450"/>
      <c r="L20" s="450"/>
      <c r="M20" s="450"/>
      <c r="N20" s="450"/>
      <c r="O20" s="450"/>
      <c r="P20" s="450"/>
      <c r="Q20" s="450"/>
      <c r="R20" s="450"/>
    </row>
    <row r="21" spans="1:18" ht="12.75" customHeight="1" x14ac:dyDescent="0.2">
      <c r="A21" s="46"/>
      <c r="B21" s="49">
        <f t="shared" ref="B21:H21" si="2">SUM(B16:B20)</f>
        <v>86302</v>
      </c>
      <c r="C21" s="49">
        <f t="shared" si="2"/>
        <v>59673</v>
      </c>
      <c r="D21" s="23">
        <f t="shared" si="2"/>
        <v>52222.346336015689</v>
      </c>
      <c r="E21" s="23">
        <f t="shared" si="2"/>
        <v>54608.175680701883</v>
      </c>
      <c r="F21" s="23">
        <f t="shared" si="2"/>
        <v>57350.77838500178</v>
      </c>
      <c r="G21" s="23">
        <f t="shared" si="2"/>
        <v>55863.06621154095</v>
      </c>
      <c r="H21" s="94">
        <f t="shared" si="2"/>
        <v>54468.618313386352</v>
      </c>
      <c r="I21" s="92"/>
    </row>
    <row r="22" spans="1:18" ht="12.75" customHeight="1" x14ac:dyDescent="0.2">
      <c r="A22" s="34" t="s">
        <v>201</v>
      </c>
      <c r="B22" s="55">
        <f t="shared" ref="B22:H22" si="3">B21+B14</f>
        <v>116061</v>
      </c>
      <c r="C22" s="55">
        <f t="shared" si="3"/>
        <v>98503</v>
      </c>
      <c r="D22" s="55">
        <f t="shared" si="3"/>
        <v>103977.94633601568</v>
      </c>
      <c r="E22" s="55">
        <f t="shared" si="3"/>
        <v>104733.42808070188</v>
      </c>
      <c r="F22" s="55">
        <f t="shared" si="3"/>
        <v>106534.87218100177</v>
      </c>
      <c r="G22" s="55">
        <f t="shared" si="3"/>
        <v>103547.20642498095</v>
      </c>
      <c r="H22" s="83">
        <f t="shared" si="3"/>
        <v>100785.73825273417</v>
      </c>
      <c r="I22" s="92"/>
    </row>
    <row r="23" spans="1:18" ht="12.75" customHeight="1" x14ac:dyDescent="0.2">
      <c r="A23" s="156"/>
      <c r="B23" s="10"/>
      <c r="C23" s="10"/>
      <c r="D23" s="77"/>
      <c r="E23" s="77"/>
      <c r="F23" s="77"/>
      <c r="G23" s="77"/>
      <c r="H23" s="27"/>
      <c r="I23" s="92"/>
    </row>
    <row r="24" spans="1:18" ht="12.75" customHeight="1" x14ac:dyDescent="0.2">
      <c r="A24" s="117" t="s">
        <v>202</v>
      </c>
      <c r="B24" s="24"/>
      <c r="C24" s="24"/>
      <c r="D24" s="120"/>
      <c r="E24" s="120"/>
      <c r="F24" s="120"/>
      <c r="G24" s="120"/>
      <c r="H24" s="122"/>
      <c r="I24" s="92"/>
    </row>
    <row r="25" spans="1:18" ht="12.75" customHeight="1" x14ac:dyDescent="0.2">
      <c r="A25" s="126" t="s">
        <v>95</v>
      </c>
      <c r="B25" s="24">
        <v>15545</v>
      </c>
      <c r="C25" s="24">
        <v>15545</v>
      </c>
      <c r="D25" s="120">
        <v>15545</v>
      </c>
      <c r="E25" s="120">
        <v>15545</v>
      </c>
      <c r="F25" s="120">
        <v>15545</v>
      </c>
      <c r="G25" s="120">
        <v>15545</v>
      </c>
      <c r="H25" s="121">
        <v>15545</v>
      </c>
      <c r="I25" s="92"/>
    </row>
    <row r="26" spans="1:18" ht="12.75" customHeight="1" x14ac:dyDescent="0.2">
      <c r="A26" s="126" t="s">
        <v>96</v>
      </c>
      <c r="B26" s="24">
        <v>41937</v>
      </c>
      <c r="C26" s="24">
        <f>'Source Data'!D73</f>
        <v>29909</v>
      </c>
      <c r="D26" s="120">
        <f>C26+(IS!D31*(1-Inputs!B36))</f>
        <v>31124.321534809809</v>
      </c>
      <c r="E26" s="120">
        <f>D26+(IS!E31*(1-Inputs!C36))</f>
        <v>32782.142793129213</v>
      </c>
      <c r="F26" s="120">
        <f>E26+(IS!F31*(1-Inputs!D36))</f>
        <v>32782.142793129213</v>
      </c>
      <c r="G26" s="120">
        <f>F26+(IS!G31*(1-Inputs!E36))</f>
        <v>29268.447582524717</v>
      </c>
      <c r="H26" s="121">
        <f>G26+(IS!H31*(1-Inputs!F36))</f>
        <v>25238.919369573723</v>
      </c>
      <c r="I26" s="92"/>
    </row>
    <row r="27" spans="1:18" ht="12.75" customHeight="1" x14ac:dyDescent="0.2">
      <c r="A27" s="157" t="s">
        <v>97</v>
      </c>
      <c r="B27" s="41">
        <v>26554</v>
      </c>
      <c r="C27" s="41">
        <v>26554</v>
      </c>
      <c r="D27" s="167">
        <v>26554</v>
      </c>
      <c r="E27" s="167">
        <v>26554</v>
      </c>
      <c r="F27" s="167">
        <v>26554</v>
      </c>
      <c r="G27" s="167">
        <v>26554</v>
      </c>
      <c r="H27" s="168">
        <v>26554</v>
      </c>
      <c r="I27" s="92"/>
    </row>
    <row r="28" spans="1:18" ht="12.75" customHeight="1" x14ac:dyDescent="0.2">
      <c r="A28" s="34" t="s">
        <v>203</v>
      </c>
      <c r="B28" s="55">
        <f t="shared" ref="B28:H28" si="4">SUM(B25:B27)</f>
        <v>84036</v>
      </c>
      <c r="C28" s="55">
        <f t="shared" si="4"/>
        <v>72008</v>
      </c>
      <c r="D28" s="55">
        <f t="shared" si="4"/>
        <v>73223.321534809802</v>
      </c>
      <c r="E28" s="55">
        <f t="shared" si="4"/>
        <v>74881.142793129213</v>
      </c>
      <c r="F28" s="55">
        <f t="shared" si="4"/>
        <v>74881.142793129213</v>
      </c>
      <c r="G28" s="55">
        <f t="shared" si="4"/>
        <v>71367.447582524721</v>
      </c>
      <c r="H28" s="83">
        <f t="shared" si="4"/>
        <v>67337.919369573719</v>
      </c>
      <c r="I28" s="92"/>
    </row>
    <row r="29" spans="1:18" ht="12.75" customHeight="1" x14ac:dyDescent="0.2">
      <c r="A29" s="156"/>
      <c r="B29" s="10"/>
      <c r="C29" s="10"/>
      <c r="D29" s="77"/>
      <c r="E29" s="77"/>
      <c r="F29" s="77"/>
      <c r="G29" s="77"/>
      <c r="H29" s="27"/>
      <c r="I29" s="92"/>
    </row>
    <row r="30" spans="1:18" ht="12.75" customHeight="1" x14ac:dyDescent="0.2">
      <c r="A30" s="117" t="s">
        <v>204</v>
      </c>
      <c r="B30" s="24"/>
      <c r="C30" s="24"/>
      <c r="D30" s="73"/>
      <c r="E30" s="73"/>
      <c r="F30" s="73"/>
      <c r="G30" s="73"/>
      <c r="H30" s="62"/>
      <c r="I30" s="92"/>
    </row>
    <row r="31" spans="1:18" ht="12.75" customHeight="1" x14ac:dyDescent="0.2">
      <c r="A31" s="117" t="s">
        <v>205</v>
      </c>
      <c r="B31" s="24"/>
      <c r="C31" s="24"/>
      <c r="D31" s="73"/>
      <c r="E31" s="73"/>
      <c r="F31" s="73"/>
      <c r="G31" s="73"/>
      <c r="H31" s="62"/>
      <c r="I31" s="92"/>
    </row>
    <row r="32" spans="1:18" ht="12.75" customHeight="1" x14ac:dyDescent="0.2">
      <c r="A32" s="126" t="s">
        <v>206</v>
      </c>
      <c r="B32" s="24">
        <v>197</v>
      </c>
      <c r="C32" s="24">
        <f>'Source Data'!G73</f>
        <v>280</v>
      </c>
      <c r="D32" s="73">
        <f>C32*(1+Inputs!B32)</f>
        <v>280</v>
      </c>
      <c r="E32" s="73">
        <f>D32*(1+Inputs!C32)</f>
        <v>280</v>
      </c>
      <c r="F32" s="73">
        <f>E32*(1+Inputs!D32)</f>
        <v>280</v>
      </c>
      <c r="G32" s="73">
        <f>F32*(1+Inputs!E32)</f>
        <v>280</v>
      </c>
      <c r="H32" s="62">
        <f>G32*(1+Inputs!F32)</f>
        <v>280</v>
      </c>
      <c r="I32" s="92"/>
    </row>
    <row r="33" spans="1:9" ht="12.75" customHeight="1" x14ac:dyDescent="0.2">
      <c r="A33" s="157" t="s">
        <v>207</v>
      </c>
      <c r="B33" s="41">
        <v>997</v>
      </c>
      <c r="C33" s="41">
        <f>'Source Data'!H73</f>
        <v>1673</v>
      </c>
      <c r="D33" s="57">
        <f>C33*(1+Inputs!B35)</f>
        <v>1806.8400000000001</v>
      </c>
      <c r="E33" s="57">
        <f>D33*(1+Inputs!C35)</f>
        <v>1951.3872000000003</v>
      </c>
      <c r="F33" s="57">
        <f>E33*(1+Inputs!D35)</f>
        <v>2107.4981760000005</v>
      </c>
      <c r="G33" s="57">
        <f>F33*(1+Inputs!E35)</f>
        <v>2255.0230483200007</v>
      </c>
      <c r="H33" s="82">
        <f>G33*(1+Inputs!F35)</f>
        <v>2412.8746617024008</v>
      </c>
      <c r="I33" s="92"/>
    </row>
    <row r="34" spans="1:9" ht="12.75" customHeight="1" x14ac:dyDescent="0.2">
      <c r="A34" s="156"/>
      <c r="B34" s="86">
        <f t="shared" ref="B34:H34" si="5">SUM(B32:B33)</f>
        <v>1194</v>
      </c>
      <c r="C34" s="86">
        <f t="shared" si="5"/>
        <v>1953</v>
      </c>
      <c r="D34" s="154">
        <f t="shared" si="5"/>
        <v>2086.84</v>
      </c>
      <c r="E34" s="154">
        <f t="shared" si="5"/>
        <v>2231.3872000000001</v>
      </c>
      <c r="F34" s="154">
        <f t="shared" si="5"/>
        <v>2387.4981760000005</v>
      </c>
      <c r="G34" s="154">
        <f t="shared" si="5"/>
        <v>2535.0230483200007</v>
      </c>
      <c r="H34" s="155">
        <f t="shared" si="5"/>
        <v>2692.8746617024008</v>
      </c>
      <c r="I34" s="92"/>
    </row>
    <row r="35" spans="1:9" ht="12.75" customHeight="1" x14ac:dyDescent="0.2">
      <c r="A35" s="117" t="s">
        <v>208</v>
      </c>
      <c r="B35" s="24"/>
      <c r="C35" s="24"/>
      <c r="D35" s="120"/>
      <c r="E35" s="120"/>
      <c r="F35" s="120"/>
      <c r="G35" s="120"/>
      <c r="H35" s="122"/>
      <c r="I35" s="92"/>
    </row>
    <row r="36" spans="1:9" ht="12.75" customHeight="1" x14ac:dyDescent="0.2">
      <c r="A36" s="126" t="s">
        <v>209</v>
      </c>
      <c r="B36" s="24">
        <v>1290</v>
      </c>
      <c r="C36" s="24">
        <f>'Source Data'!I73</f>
        <v>53</v>
      </c>
      <c r="D36" s="120">
        <f>C36*(1+Inputs!B31)</f>
        <v>53</v>
      </c>
      <c r="E36" s="120">
        <f>D36*(1+Inputs!C31)</f>
        <v>53</v>
      </c>
      <c r="F36" s="120">
        <f>E36*(1+Inputs!D31)</f>
        <v>53</v>
      </c>
      <c r="G36" s="120">
        <f>F36*(1+Inputs!E31)</f>
        <v>53</v>
      </c>
      <c r="H36" s="122">
        <f>G36*(1+Inputs!F31)</f>
        <v>53</v>
      </c>
      <c r="I36" s="92"/>
    </row>
    <row r="37" spans="1:9" ht="12.75" customHeight="1" x14ac:dyDescent="0.2">
      <c r="A37" s="126" t="s">
        <v>102</v>
      </c>
      <c r="B37" s="24">
        <v>22406</v>
      </c>
      <c r="C37" s="24">
        <f>'Source Data'!J73</f>
        <v>17188</v>
      </c>
      <c r="D37" s="120">
        <f>(Inputs!B28*(((-IS!D9-IS!D11)+D16)-C16))/365</f>
        <v>21094.754801205869</v>
      </c>
      <c r="E37" s="120">
        <f>(Inputs!C28*(((-IS!E9-IS!E11)+E16)-D16))/365</f>
        <v>19822.267187572663</v>
      </c>
      <c r="F37" s="120">
        <f>(Inputs!D28*(((-IS!F9-IS!F11)+F16)-E16))/365</f>
        <v>21235.231384872553</v>
      </c>
      <c r="G37" s="120">
        <f>(Inputs!E28*(((-IS!G9-IS!G11)+G16)-F16))/365</f>
        <v>21374.395972326223</v>
      </c>
      <c r="H37" s="121">
        <f>(Inputs!F28*(((-IS!H9-IS!H11)+H16)-G16))/365</f>
        <v>22238.084204993738</v>
      </c>
      <c r="I37" s="92"/>
    </row>
    <row r="38" spans="1:9" ht="12.75" customHeight="1" x14ac:dyDescent="0.2">
      <c r="A38" s="126" t="s">
        <v>210</v>
      </c>
      <c r="B38" s="24">
        <v>0</v>
      </c>
      <c r="C38" s="24">
        <v>0</v>
      </c>
      <c r="D38" s="120">
        <v>0</v>
      </c>
      <c r="E38" s="120">
        <v>0</v>
      </c>
      <c r="F38" s="120">
        <v>0</v>
      </c>
      <c r="G38" s="120">
        <v>0</v>
      </c>
      <c r="H38" s="122">
        <v>0</v>
      </c>
      <c r="I38" s="92"/>
    </row>
    <row r="39" spans="1:9" ht="12.75" customHeight="1" x14ac:dyDescent="0.2">
      <c r="A39" s="157" t="s">
        <v>156</v>
      </c>
      <c r="B39" s="41">
        <v>7135</v>
      </c>
      <c r="C39" s="41">
        <v>7301</v>
      </c>
      <c r="D39" s="57">
        <f>C39*(1+Inputs!B34)</f>
        <v>7520.03</v>
      </c>
      <c r="E39" s="57">
        <f>D39*(1+Inputs!C34)</f>
        <v>7745.6309000000001</v>
      </c>
      <c r="F39" s="57">
        <f>E39*(1+Inputs!D34)</f>
        <v>7977.9998270000006</v>
      </c>
      <c r="G39" s="57">
        <f>F39*(1+Inputs!E34)</f>
        <v>8217.339821810001</v>
      </c>
      <c r="H39" s="82">
        <f>G39*(1+Inputs!F34)</f>
        <v>8463.8600164643012</v>
      </c>
      <c r="I39" s="92"/>
    </row>
    <row r="40" spans="1:9" ht="12.75" customHeight="1" x14ac:dyDescent="0.2">
      <c r="A40" s="158"/>
      <c r="B40" s="49">
        <f t="shared" ref="B40:H40" si="6">SUM(B36:B39)</f>
        <v>30831</v>
      </c>
      <c r="C40" s="49">
        <f t="shared" si="6"/>
        <v>24542</v>
      </c>
      <c r="D40" s="23">
        <f t="shared" si="6"/>
        <v>28667.784801205868</v>
      </c>
      <c r="E40" s="23">
        <f t="shared" si="6"/>
        <v>27620.898087572663</v>
      </c>
      <c r="F40" s="23">
        <f t="shared" si="6"/>
        <v>29266.231211872553</v>
      </c>
      <c r="G40" s="23">
        <f t="shared" si="6"/>
        <v>29644.735794136224</v>
      </c>
      <c r="H40" s="94">
        <f t="shared" si="6"/>
        <v>30754.944221458041</v>
      </c>
      <c r="I40" s="32"/>
    </row>
    <row r="41" spans="1:9" ht="12.75" customHeight="1" x14ac:dyDescent="0.2">
      <c r="A41" s="34" t="s">
        <v>211</v>
      </c>
      <c r="B41" s="55">
        <f t="shared" ref="B41:H41" si="7">SUM(B34,B40)</f>
        <v>32025</v>
      </c>
      <c r="C41" s="55">
        <f t="shared" si="7"/>
        <v>26495</v>
      </c>
      <c r="D41" s="55">
        <f t="shared" si="7"/>
        <v>30754.624801205868</v>
      </c>
      <c r="E41" s="55">
        <f t="shared" si="7"/>
        <v>29852.285287572664</v>
      </c>
      <c r="F41" s="55">
        <f t="shared" si="7"/>
        <v>31653.729387872554</v>
      </c>
      <c r="G41" s="55">
        <f t="shared" si="7"/>
        <v>32179.758842456224</v>
      </c>
      <c r="H41" s="83">
        <f t="shared" si="7"/>
        <v>33447.818883160442</v>
      </c>
      <c r="I41" s="92"/>
    </row>
    <row r="42" spans="1:9" ht="12.75" customHeight="1" x14ac:dyDescent="0.2">
      <c r="A42" s="34" t="s">
        <v>212</v>
      </c>
      <c r="B42" s="55">
        <f t="shared" ref="B42:H42" si="8">SUM(B41,B28)</f>
        <v>116061</v>
      </c>
      <c r="C42" s="55">
        <f t="shared" si="8"/>
        <v>98503</v>
      </c>
      <c r="D42" s="55">
        <f t="shared" si="8"/>
        <v>103977.94633601567</v>
      </c>
      <c r="E42" s="55">
        <f t="shared" si="8"/>
        <v>104733.42808070188</v>
      </c>
      <c r="F42" s="55">
        <f t="shared" si="8"/>
        <v>106534.87218100176</v>
      </c>
      <c r="G42" s="55">
        <f t="shared" si="8"/>
        <v>103547.20642498095</v>
      </c>
      <c r="H42" s="83">
        <f t="shared" si="8"/>
        <v>100785.73825273415</v>
      </c>
      <c r="I42" s="92"/>
    </row>
    <row r="43" spans="1:9" ht="12.75" customHeight="1" x14ac:dyDescent="0.2">
      <c r="A43" s="79"/>
      <c r="B43" s="79"/>
      <c r="C43" s="79"/>
      <c r="D43" s="79"/>
      <c r="E43" s="79"/>
      <c r="F43" s="79"/>
      <c r="G43" s="79"/>
      <c r="H43" s="79"/>
    </row>
    <row r="45" spans="1:9" ht="12.75" customHeight="1" x14ac:dyDescent="0.2">
      <c r="A45" s="80"/>
      <c r="B45" s="73"/>
      <c r="C45" s="73"/>
      <c r="D45" s="73"/>
      <c r="E45" s="73"/>
      <c r="F45" s="73"/>
      <c r="G45" s="73"/>
      <c r="H45" s="73"/>
    </row>
  </sheetData>
  <mergeCells count="1">
    <mergeCell ref="A1:H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zoomScale="85" zoomScaleNormal="85" workbookViewId="0">
      <selection activeCell="B33" sqref="B32:F33"/>
    </sheetView>
  </sheetViews>
  <sheetFormatPr defaultColWidth="17.140625" defaultRowHeight="12.75" customHeight="1" x14ac:dyDescent="0.2"/>
  <cols>
    <col min="1" max="1" width="60.85546875" customWidth="1"/>
    <col min="8" max="8" width="17.28515625" style="118" customWidth="1"/>
  </cols>
  <sheetData>
    <row r="1" spans="1:8" ht="12.75" customHeight="1" x14ac:dyDescent="0.2">
      <c r="A1" s="466" t="s">
        <v>213</v>
      </c>
      <c r="B1" s="460"/>
      <c r="C1" s="460"/>
      <c r="D1" s="460"/>
      <c r="E1" s="460"/>
      <c r="F1" s="460"/>
      <c r="G1" s="461"/>
      <c r="H1" s="162"/>
    </row>
    <row r="2" spans="1:8" ht="12.75" customHeight="1" x14ac:dyDescent="0.2">
      <c r="A2" s="148" t="s">
        <v>4</v>
      </c>
      <c r="B2" s="163">
        <v>2012</v>
      </c>
      <c r="C2" s="152" t="s">
        <v>127</v>
      </c>
      <c r="D2" s="152" t="s">
        <v>128</v>
      </c>
      <c r="E2" s="164" t="s">
        <v>129</v>
      </c>
      <c r="F2" s="152" t="s">
        <v>130</v>
      </c>
      <c r="G2" s="153" t="s">
        <v>131</v>
      </c>
      <c r="H2" s="126"/>
    </row>
    <row r="3" spans="1:8" ht="12.75" customHeight="1" x14ac:dyDescent="0.2">
      <c r="A3" s="17" t="s">
        <v>214</v>
      </c>
      <c r="B3" s="101"/>
      <c r="G3" s="28"/>
      <c r="H3" s="126"/>
    </row>
    <row r="4" spans="1:8" ht="12.75" customHeight="1" x14ac:dyDescent="0.2">
      <c r="A4" s="92" t="s">
        <v>215</v>
      </c>
      <c r="B4" s="108">
        <f>IS!C29</f>
        <v>29739.635858017486</v>
      </c>
      <c r="C4" s="73">
        <f>IS!D29</f>
        <v>7148.9502047635842</v>
      </c>
      <c r="D4" s="73">
        <f>IS!E29</f>
        <v>19503.779509640037</v>
      </c>
      <c r="E4" s="73">
        <f>IS!F29</f>
        <v>18200.575537235567</v>
      </c>
      <c r="F4" s="73">
        <f>IS!G29</f>
        <v>16535.036285197632</v>
      </c>
      <c r="G4" s="62">
        <f>IS!H29</f>
        <v>13544.632648574767</v>
      </c>
      <c r="H4" s="126"/>
    </row>
    <row r="5" spans="1:8" ht="12.75" customHeight="1" x14ac:dyDescent="0.2">
      <c r="A5" s="119" t="s">
        <v>216</v>
      </c>
      <c r="B5" s="108"/>
      <c r="C5" s="73"/>
      <c r="D5" s="73"/>
      <c r="E5" s="73"/>
      <c r="F5" s="73"/>
      <c r="G5" s="62"/>
      <c r="H5" s="126"/>
    </row>
    <row r="6" spans="1:8" ht="12.75" customHeight="1" x14ac:dyDescent="0.2">
      <c r="A6" s="125" t="s">
        <v>144</v>
      </c>
      <c r="B6" s="108">
        <f>-IS!C23</f>
        <v>5388</v>
      </c>
      <c r="C6" s="73">
        <f>-IS!D23</f>
        <v>4083.4</v>
      </c>
      <c r="D6" s="73">
        <f>-IS!E23</f>
        <v>5522.3215999999993</v>
      </c>
      <c r="E6" s="73">
        <f>-IS!F23</f>
        <v>5258.4359119999999</v>
      </c>
      <c r="F6" s="73">
        <f>-IS!G23</f>
        <v>5074.2692795999992</v>
      </c>
      <c r="G6" s="62">
        <f>-IS!H23</f>
        <v>4829.2163333802</v>
      </c>
      <c r="H6" s="126"/>
    </row>
    <row r="7" spans="1:8" ht="12.75" customHeight="1" x14ac:dyDescent="0.2">
      <c r="A7" s="126" t="s">
        <v>217</v>
      </c>
      <c r="B7" s="108">
        <f>-(BS!C13-BS!B13)</f>
        <v>-136</v>
      </c>
      <c r="C7" s="73">
        <f>-(BS!D13-BS!C13)</f>
        <v>0</v>
      </c>
      <c r="D7" s="73">
        <f>-(BS!E13-BS!D13)</f>
        <v>0</v>
      </c>
      <c r="E7" s="73">
        <f>-(BS!F13-BS!E13)</f>
        <v>0</v>
      </c>
      <c r="F7" s="73">
        <f>-(BS!G13-BS!F13)</f>
        <v>0</v>
      </c>
      <c r="G7" s="62">
        <f>-(BS!H13-BS!G13)</f>
        <v>0</v>
      </c>
      <c r="H7" s="126"/>
    </row>
    <row r="8" spans="1:8" ht="12.75" customHeight="1" x14ac:dyDescent="0.2">
      <c r="A8" s="125" t="s">
        <v>218</v>
      </c>
      <c r="B8" s="108">
        <f>IS!C30</f>
        <v>-2819</v>
      </c>
      <c r="C8" s="73">
        <f>IS!D30</f>
        <v>-1072.3425307145376</v>
      </c>
      <c r="D8" s="73">
        <f>IS!E30</f>
        <v>-2925.5669264460053</v>
      </c>
      <c r="E8" s="73">
        <f>IS!F30</f>
        <v>-2730.086330585335</v>
      </c>
      <c r="F8" s="73">
        <f>IS!G30</f>
        <v>-2480.2554427796445</v>
      </c>
      <c r="G8" s="62">
        <f>IS!H30</f>
        <v>-2031.6948972862149</v>
      </c>
      <c r="H8" s="126"/>
    </row>
    <row r="9" spans="1:8" ht="12.75" customHeight="1" x14ac:dyDescent="0.2">
      <c r="A9" s="125" t="s">
        <v>219</v>
      </c>
      <c r="B9" s="108">
        <f>-(BS!C16-BS!B16)</f>
        <v>-4420</v>
      </c>
      <c r="C9" s="73">
        <f>-(BS!D16-BS!C16)</f>
        <v>2762.5500000000011</v>
      </c>
      <c r="D9" s="73">
        <f>-(BS!E16-BS!D16)</f>
        <v>782.72249999999985</v>
      </c>
      <c r="E9" s="73">
        <f>-(BS!F16-BS!E16)</f>
        <v>743.58637500000077</v>
      </c>
      <c r="F9" s="73">
        <f>-(BS!G16-BS!F16)</f>
        <v>706.4070562500001</v>
      </c>
      <c r="G9" s="62">
        <f>-(BS!H16-BS!G16)</f>
        <v>671.08670343750055</v>
      </c>
      <c r="H9" s="126"/>
    </row>
    <row r="10" spans="1:8" ht="12.75" customHeight="1" x14ac:dyDescent="0.2">
      <c r="A10" s="125" t="s">
        <v>220</v>
      </c>
      <c r="B10" s="108">
        <f>-(SUM(BS!C17:C19)-SUM(BS!B17:B19))</f>
        <v>32314</v>
      </c>
      <c r="C10" s="73">
        <f>-(SUM(BS!D17:D19)-SUM(BS!C17:C19))</f>
        <v>4893.3536675342548</v>
      </c>
      <c r="D10" s="73">
        <f>-(SUM(BS!E17:E19)-SUM(BS!D17:D19))</f>
        <v>917.7991195120303</v>
      </c>
      <c r="E10" s="73">
        <f>-(SUM(BS!F17:F19)-SUM(BS!E17:E19))</f>
        <v>344.04649353176865</v>
      </c>
      <c r="F10" s="73">
        <f>-(SUM(BS!G17:G19)-SUM(BS!F17:F19))</f>
        <v>394.40312471911238</v>
      </c>
      <c r="G10" s="62">
        <f>-(SUM(BS!H17:H19)-SUM(BS!G17:G19))</f>
        <v>204.89210834982441</v>
      </c>
      <c r="H10" s="126"/>
    </row>
    <row r="11" spans="1:8" ht="12.75" customHeight="1" x14ac:dyDescent="0.2">
      <c r="A11" s="92" t="s">
        <v>221</v>
      </c>
      <c r="B11" s="108">
        <f>BS!C37-BS!B37</f>
        <v>-5218</v>
      </c>
      <c r="C11" s="73">
        <f>BS!D37-BS!C37</f>
        <v>3906.7548012058687</v>
      </c>
      <c r="D11" s="73">
        <f>BS!E37-BS!D37</f>
        <v>-1272.4876136332059</v>
      </c>
      <c r="E11" s="73">
        <f>BS!F37-BS!E37</f>
        <v>1412.9641972998907</v>
      </c>
      <c r="F11" s="73">
        <f>BS!G37-BS!F37</f>
        <v>139.16458745366981</v>
      </c>
      <c r="G11" s="62">
        <f>BS!H37-BS!G37</f>
        <v>863.68823266751497</v>
      </c>
      <c r="H11" s="126"/>
    </row>
    <row r="12" spans="1:8" ht="12.75" customHeight="1" x14ac:dyDescent="0.2">
      <c r="A12" s="92" t="s">
        <v>222</v>
      </c>
      <c r="B12" s="108">
        <f>BS!C33-BS!B33</f>
        <v>676</v>
      </c>
      <c r="C12" s="73">
        <f>BS!D33-BS!C33</f>
        <v>133.84000000000015</v>
      </c>
      <c r="D12" s="73">
        <f>BS!E33-BS!D33</f>
        <v>144.5472000000002</v>
      </c>
      <c r="E12" s="73">
        <f>BS!F33-BS!E33</f>
        <v>156.11097600000016</v>
      </c>
      <c r="F12" s="73">
        <f>BS!G33-BS!F33</f>
        <v>147.52487232000021</v>
      </c>
      <c r="G12" s="62">
        <f>BS!H33-BS!G33</f>
        <v>157.85161338240005</v>
      </c>
      <c r="H12" s="126"/>
    </row>
    <row r="13" spans="1:8" ht="12.75" customHeight="1" x14ac:dyDescent="0.2">
      <c r="A13" s="84" t="s">
        <v>223</v>
      </c>
      <c r="B13" s="67">
        <f>((((BS!C36-BS!B36)+BS!C38)-BS!B38)+BS!C39)-BS!B39</f>
        <v>-1071</v>
      </c>
      <c r="C13" s="57">
        <f>((((BS!D36-BS!C36)+BS!D38)-BS!C38)+BS!D39)-BS!C39</f>
        <v>219.02999999999975</v>
      </c>
      <c r="D13" s="57">
        <f>((((BS!E36-BS!D36)+BS!E38)-BS!D38)+BS!E39)-BS!D39</f>
        <v>225.60090000000037</v>
      </c>
      <c r="E13" s="57">
        <f>((((BS!F36-BS!E36)+BS!F38)-BS!E38)+BS!F39)-BS!E39</f>
        <v>232.36892700000044</v>
      </c>
      <c r="F13" s="57">
        <f>((((BS!G36-BS!F36)+BS!G38)-BS!F38)+BS!G39)-BS!F39</f>
        <v>239.33999481000046</v>
      </c>
      <c r="G13" s="82">
        <f>((((BS!H36-BS!G36)+BS!H38)-BS!G38)+BS!H39)-BS!G39</f>
        <v>246.52019465430021</v>
      </c>
      <c r="H13" s="126"/>
    </row>
    <row r="14" spans="1:8" ht="12.75" customHeight="1" x14ac:dyDescent="0.2">
      <c r="A14" s="112" t="s">
        <v>224</v>
      </c>
      <c r="B14" s="15">
        <f t="shared" ref="B14:G14" si="0">SUM(B4:B13)</f>
        <v>54453.635858017486</v>
      </c>
      <c r="C14" s="15">
        <f t="shared" si="0"/>
        <v>22075.536142789173</v>
      </c>
      <c r="D14" s="15">
        <f t="shared" si="0"/>
        <v>22898.716289072858</v>
      </c>
      <c r="E14" s="15">
        <f t="shared" si="0"/>
        <v>23618.002087481895</v>
      </c>
      <c r="F14" s="15">
        <f t="shared" si="0"/>
        <v>20755.889757570771</v>
      </c>
      <c r="G14" s="51">
        <f t="shared" si="0"/>
        <v>18486.192937160289</v>
      </c>
      <c r="H14" s="126"/>
    </row>
    <row r="15" spans="1:8" ht="12.75" customHeight="1" x14ac:dyDescent="0.2">
      <c r="A15" s="50"/>
      <c r="B15" s="115"/>
      <c r="C15" s="77"/>
      <c r="D15" s="77"/>
      <c r="E15" s="77"/>
      <c r="F15" s="77"/>
      <c r="G15" s="27"/>
      <c r="H15" s="126"/>
    </row>
    <row r="16" spans="1:8" ht="12.75" customHeight="1" x14ac:dyDescent="0.2">
      <c r="A16" s="92" t="s">
        <v>225</v>
      </c>
      <c r="B16" s="108">
        <f>-(BS!C10-BS!B10)-B6</f>
        <v>-14453</v>
      </c>
      <c r="C16" s="73">
        <f>(-(BS!D10-BS!C10)-C6)+Investment!C32</f>
        <v>-17006.719999999998</v>
      </c>
      <c r="D16" s="73">
        <f>(-(BS!E10-BS!D10)-D6)+Investment!D32</f>
        <v>-3893.615600000001</v>
      </c>
      <c r="E16" s="73">
        <f>(-(BS!F10-BS!E10)-E6)+Investment!E32</f>
        <v>-4316.3032919999969</v>
      </c>
      <c r="F16" s="73">
        <f>(-(BS!G10-BS!F10)-F6)+Investment!F32</f>
        <v>-3573.4001220000027</v>
      </c>
      <c r="G16" s="62">
        <f>(-(BS!H10-BS!G10)-G6)+Investment!G32</f>
        <v>-3461.3354187504187</v>
      </c>
      <c r="H16" s="126"/>
    </row>
    <row r="17" spans="1:8" ht="12.75" customHeight="1" x14ac:dyDescent="0.2">
      <c r="A17" s="84" t="s">
        <v>226</v>
      </c>
      <c r="B17" s="67">
        <f>BS!B11-BS!C11</f>
        <v>130</v>
      </c>
      <c r="C17" s="57">
        <f>(BS!C11-BS!D11)-Investment!C32</f>
        <v>-2.2799999999999994</v>
      </c>
      <c r="D17" s="57">
        <f>(BS!D11-BS!E11)-Investment!D32</f>
        <v>1.6416000000000048</v>
      </c>
      <c r="E17" s="57">
        <f>(BS!E11-BS!F11)-Investment!E32</f>
        <v>-0.97401599999999577</v>
      </c>
      <c r="F17" s="57">
        <f>(BS!F11-BS!G11)-Investment!F32</f>
        <v>-0.91557503999999845</v>
      </c>
      <c r="G17" s="82">
        <f>(BS!G11-BS!H11)-Investment!G32</f>
        <v>-0.86064053759999704</v>
      </c>
      <c r="H17" s="126"/>
    </row>
    <row r="18" spans="1:8" ht="12.75" customHeight="1" x14ac:dyDescent="0.2">
      <c r="A18" s="112" t="s">
        <v>227</v>
      </c>
      <c r="B18" s="15">
        <f t="shared" ref="B18:G18" si="1">SUM(B16:B17)</f>
        <v>-14323</v>
      </c>
      <c r="C18" s="15">
        <f t="shared" si="1"/>
        <v>-17008.999999999996</v>
      </c>
      <c r="D18" s="15">
        <f t="shared" si="1"/>
        <v>-3891.9740000000011</v>
      </c>
      <c r="E18" s="15">
        <f t="shared" si="1"/>
        <v>-4317.277307999997</v>
      </c>
      <c r="F18" s="15">
        <f t="shared" si="1"/>
        <v>-3574.3156970400028</v>
      </c>
      <c r="G18" s="51">
        <f t="shared" si="1"/>
        <v>-3462.1960592880187</v>
      </c>
      <c r="H18" s="126"/>
    </row>
    <row r="19" spans="1:8" ht="12.75" customHeight="1" x14ac:dyDescent="0.2">
      <c r="A19" s="47"/>
      <c r="B19" s="115"/>
      <c r="C19" s="165"/>
      <c r="D19" s="165"/>
      <c r="E19" s="165"/>
      <c r="F19" s="165"/>
      <c r="G19" s="166"/>
      <c r="H19" s="126"/>
    </row>
    <row r="20" spans="1:8" ht="12.75" customHeight="1" x14ac:dyDescent="0.2">
      <c r="A20" s="17" t="s">
        <v>228</v>
      </c>
      <c r="B20" s="108"/>
      <c r="C20" s="120"/>
      <c r="D20" s="120"/>
      <c r="E20" s="120"/>
      <c r="F20" s="120"/>
      <c r="G20" s="122"/>
      <c r="H20" s="126"/>
    </row>
    <row r="21" spans="1:8" ht="12.75" customHeight="1" x14ac:dyDescent="0.2">
      <c r="A21" s="92" t="s">
        <v>229</v>
      </c>
      <c r="B21" s="108">
        <f>BS!C25-BS!B25</f>
        <v>0</v>
      </c>
      <c r="C21" s="120">
        <f>BS!D25-BS!C25</f>
        <v>0</v>
      </c>
      <c r="D21" s="120">
        <f>BS!E25-BS!D25</f>
        <v>0</v>
      </c>
      <c r="E21" s="120">
        <f>BS!F25-BS!E25</f>
        <v>0</v>
      </c>
      <c r="F21" s="120">
        <f>BS!G25-BS!F25</f>
        <v>0</v>
      </c>
      <c r="G21" s="122">
        <f>BS!H25-BS!G25</f>
        <v>0</v>
      </c>
      <c r="H21" s="126"/>
    </row>
    <row r="22" spans="1:8" ht="12.75" customHeight="1" x14ac:dyDescent="0.2">
      <c r="A22" s="92" t="s">
        <v>230</v>
      </c>
      <c r="B22" s="108">
        <f>BS!C32-BS!B32</f>
        <v>83</v>
      </c>
      <c r="C22" s="120">
        <f>BS!D32-BS!C32</f>
        <v>0</v>
      </c>
      <c r="D22" s="120">
        <f>BS!E32-BS!D32</f>
        <v>0</v>
      </c>
      <c r="E22" s="120">
        <f>BS!F32-BS!E32</f>
        <v>0</v>
      </c>
      <c r="F22" s="120">
        <f>BS!G32-BS!F32</f>
        <v>0</v>
      </c>
      <c r="G22" s="122">
        <f>BS!H32-BS!G32</f>
        <v>0</v>
      </c>
      <c r="H22" s="126"/>
    </row>
    <row r="23" spans="1:8" ht="12.75" customHeight="1" x14ac:dyDescent="0.2">
      <c r="A23" s="84" t="s">
        <v>231</v>
      </c>
      <c r="B23" s="67">
        <f>(BS!C26-BS!B26)-IS!C31</f>
        <v>-38948.635858017486</v>
      </c>
      <c r="C23" s="167">
        <f>(BS!D26-BS!C26)-IS!D31</f>
        <v>-4861.2861392392369</v>
      </c>
      <c r="D23" s="167">
        <f>(BS!E26-BS!D26)-IS!E31</f>
        <v>-14920.391324874628</v>
      </c>
      <c r="E23" s="167">
        <f>(BS!F26-BS!E26)-IS!F31</f>
        <v>-15470.489206650233</v>
      </c>
      <c r="F23" s="167">
        <f>(BS!G26-BS!F26)-IS!G31</f>
        <v>-17568.476053022481</v>
      </c>
      <c r="G23" s="168">
        <f>(BS!H26-BS!G26)-IS!H31</f>
        <v>-15542.465964239545</v>
      </c>
      <c r="H23" s="126"/>
    </row>
    <row r="24" spans="1:8" ht="12.75" customHeight="1" x14ac:dyDescent="0.2">
      <c r="A24" s="112" t="s">
        <v>232</v>
      </c>
      <c r="B24" s="15">
        <f t="shared" ref="B24:G24" si="2">SUM(B21:B23)</f>
        <v>-38865.635858017486</v>
      </c>
      <c r="C24" s="15">
        <f t="shared" si="2"/>
        <v>-4861.2861392392369</v>
      </c>
      <c r="D24" s="15">
        <f t="shared" si="2"/>
        <v>-14920.391324874628</v>
      </c>
      <c r="E24" s="15">
        <f t="shared" si="2"/>
        <v>-15470.489206650233</v>
      </c>
      <c r="F24" s="15">
        <f t="shared" si="2"/>
        <v>-17568.476053022481</v>
      </c>
      <c r="G24" s="51">
        <f t="shared" si="2"/>
        <v>-15542.465964239545</v>
      </c>
      <c r="H24" s="126"/>
    </row>
    <row r="25" spans="1:8" ht="12.75" customHeight="1" x14ac:dyDescent="0.2">
      <c r="A25" s="1"/>
      <c r="B25" s="72"/>
      <c r="C25" s="66"/>
      <c r="D25" s="66"/>
      <c r="E25" s="66"/>
      <c r="F25" s="66"/>
      <c r="G25" s="102"/>
      <c r="H25" s="126"/>
    </row>
    <row r="26" spans="1:8" ht="12.75" customHeight="1" x14ac:dyDescent="0.2">
      <c r="A26" s="112" t="s">
        <v>233</v>
      </c>
      <c r="B26" s="15">
        <f t="shared" ref="B26:G26" si="3">(B24+B18)+B14</f>
        <v>1265</v>
      </c>
      <c r="C26" s="15">
        <f t="shared" si="3"/>
        <v>205.25000354993972</v>
      </c>
      <c r="D26" s="15">
        <f t="shared" si="3"/>
        <v>4086.3509641982273</v>
      </c>
      <c r="E26" s="15">
        <f t="shared" si="3"/>
        <v>3830.2355728316652</v>
      </c>
      <c r="F26" s="15">
        <f t="shared" si="3"/>
        <v>-386.90199249171201</v>
      </c>
      <c r="G26" s="51">
        <f t="shared" si="3"/>
        <v>-518.46908636727312</v>
      </c>
      <c r="H26" s="126"/>
    </row>
    <row r="27" spans="1:8" ht="12.75" customHeight="1" x14ac:dyDescent="0.2">
      <c r="A27" s="1"/>
      <c r="B27" s="72"/>
      <c r="C27" s="66"/>
      <c r="D27" s="66"/>
      <c r="E27" s="66"/>
      <c r="F27" s="66"/>
      <c r="G27" s="102"/>
      <c r="H27" s="126"/>
    </row>
    <row r="28" spans="1:8" ht="12.75" customHeight="1" x14ac:dyDescent="0.2">
      <c r="A28" s="112" t="s">
        <v>234</v>
      </c>
      <c r="B28" s="15">
        <f>BS!B20</f>
        <v>1906</v>
      </c>
      <c r="C28" s="15">
        <f>BS!C20</f>
        <v>3171</v>
      </c>
      <c r="D28" s="15">
        <f>BS!D20</f>
        <v>3376.2500035499397</v>
      </c>
      <c r="E28" s="15">
        <f>BS!E20</f>
        <v>7462.600967748167</v>
      </c>
      <c r="F28" s="15">
        <f>BS!F20</f>
        <v>11292.836540579832</v>
      </c>
      <c r="G28" s="51">
        <f>BS!G20</f>
        <v>10905.93454808812</v>
      </c>
      <c r="H28" s="126"/>
    </row>
    <row r="29" spans="1:8" ht="12.75" customHeight="1" x14ac:dyDescent="0.2">
      <c r="A29" s="112" t="s">
        <v>235</v>
      </c>
      <c r="B29" s="15">
        <f t="shared" ref="B29:G29" si="4">B26+B28</f>
        <v>3171</v>
      </c>
      <c r="C29" s="15">
        <f t="shared" si="4"/>
        <v>3376.2500035499397</v>
      </c>
      <c r="D29" s="15">
        <f t="shared" si="4"/>
        <v>7462.600967748167</v>
      </c>
      <c r="E29" s="15">
        <f t="shared" si="4"/>
        <v>11292.836540579832</v>
      </c>
      <c r="F29" s="15">
        <f t="shared" si="4"/>
        <v>10905.93454808812</v>
      </c>
      <c r="G29" s="51">
        <f t="shared" si="4"/>
        <v>10387.465461720847</v>
      </c>
      <c r="H29" s="126"/>
    </row>
    <row r="30" spans="1:8" ht="12.75" customHeight="1" x14ac:dyDescent="0.2">
      <c r="A30" s="63"/>
      <c r="B30" s="79"/>
      <c r="C30" s="79"/>
      <c r="D30" s="79"/>
      <c r="E30" s="79"/>
      <c r="F30" s="79"/>
      <c r="G30" s="79"/>
    </row>
    <row r="37" spans="1:1" ht="12.75" customHeight="1" x14ac:dyDescent="0.2">
      <c r="A37" s="80"/>
    </row>
    <row r="39" spans="1:1" ht="12.75" customHeight="1" x14ac:dyDescent="0.2">
      <c r="A39" s="80"/>
    </row>
  </sheetData>
  <mergeCells count="1">
    <mergeCell ref="A1:G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zoomScale="90" zoomScaleNormal="90" workbookViewId="0">
      <selection sqref="A1:F31"/>
    </sheetView>
  </sheetViews>
  <sheetFormatPr defaultColWidth="17.140625" defaultRowHeight="12.75" customHeight="1" x14ac:dyDescent="0.2"/>
  <cols>
    <col min="1" max="1" width="50.5703125" customWidth="1"/>
  </cols>
  <sheetData>
    <row r="1" spans="1:8" x14ac:dyDescent="0.2">
      <c r="A1" s="467" t="s">
        <v>236</v>
      </c>
      <c r="B1" s="468"/>
      <c r="C1" s="468"/>
      <c r="D1" s="468"/>
      <c r="E1" s="468"/>
      <c r="F1" s="469"/>
      <c r="G1" s="16"/>
      <c r="H1" s="93"/>
    </row>
    <row r="2" spans="1:8" x14ac:dyDescent="0.2">
      <c r="A2" s="148" t="s">
        <v>4</v>
      </c>
      <c r="B2" s="152" t="s">
        <v>127</v>
      </c>
      <c r="C2" s="150" t="s">
        <v>128</v>
      </c>
      <c r="D2" s="150" t="s">
        <v>129</v>
      </c>
      <c r="E2" s="150" t="s">
        <v>130</v>
      </c>
      <c r="F2" s="153" t="s">
        <v>131</v>
      </c>
      <c r="G2" s="92"/>
    </row>
    <row r="3" spans="1:8" ht="12" customHeight="1" x14ac:dyDescent="0.2">
      <c r="A3" s="470" t="s">
        <v>237</v>
      </c>
      <c r="B3" s="471"/>
      <c r="C3" s="471"/>
      <c r="D3" s="471"/>
      <c r="E3" s="471"/>
      <c r="F3" s="472"/>
      <c r="G3" s="92"/>
    </row>
    <row r="4" spans="1:8" x14ac:dyDescent="0.2">
      <c r="A4" s="170" t="s">
        <v>116</v>
      </c>
      <c r="B4" s="258">
        <f>IS!D24</f>
        <v>6685.650204763584</v>
      </c>
      <c r="C4" s="258">
        <f>IS!E24</f>
        <v>19031.470309640037</v>
      </c>
      <c r="D4" s="258">
        <f>IS!F24</f>
        <v>17716.068037235564</v>
      </c>
      <c r="E4" s="258">
        <f>IS!G24</f>
        <v>16038.678635197632</v>
      </c>
      <c r="F4" s="259">
        <f>IS!H24</f>
        <v>13036.187845574766</v>
      </c>
      <c r="G4" s="92"/>
    </row>
    <row r="5" spans="1:8" x14ac:dyDescent="0.2">
      <c r="A5" s="125" t="s">
        <v>238</v>
      </c>
      <c r="B5" s="73">
        <f>-B4*Inputs!B26</f>
        <v>-1002.8475307145376</v>
      </c>
      <c r="C5" s="73">
        <f>-C4*Inputs!C26</f>
        <v>-2854.7205464460053</v>
      </c>
      <c r="D5" s="73">
        <f>-D4*Inputs!D26</f>
        <v>-2657.4102055853346</v>
      </c>
      <c r="E5" s="73">
        <f>-E4*Inputs!E26</f>
        <v>-2405.8017952796445</v>
      </c>
      <c r="F5" s="260">
        <f>-F4*Inputs!F26</f>
        <v>-1955.4281768362148</v>
      </c>
      <c r="G5" s="92"/>
    </row>
    <row r="6" spans="1:8" x14ac:dyDescent="0.2">
      <c r="A6" s="125" t="s">
        <v>239</v>
      </c>
      <c r="B6" s="73">
        <f>SUM(B4:B5)</f>
        <v>5682.8026740490468</v>
      </c>
      <c r="C6" s="73">
        <f>SUM(C4:C5)</f>
        <v>16176.749763194031</v>
      </c>
      <c r="D6" s="73">
        <f>SUM(D4:D5)</f>
        <v>15058.657831650229</v>
      </c>
      <c r="E6" s="73">
        <f>SUM(E4:E5)</f>
        <v>13632.876839917986</v>
      </c>
      <c r="F6" s="260">
        <f>SUM(F4:F5)</f>
        <v>11080.759668738552</v>
      </c>
      <c r="G6" s="92"/>
    </row>
    <row r="7" spans="1:8" x14ac:dyDescent="0.2">
      <c r="A7" s="125"/>
      <c r="B7" s="73"/>
      <c r="C7" s="73"/>
      <c r="D7" s="73"/>
      <c r="E7" s="73"/>
      <c r="F7" s="260"/>
      <c r="G7" s="92" t="s">
        <v>197</v>
      </c>
    </row>
    <row r="8" spans="1:8" x14ac:dyDescent="0.2">
      <c r="A8" s="125" t="s">
        <v>168</v>
      </c>
      <c r="B8" s="73">
        <f>-IS!D23</f>
        <v>4083.4</v>
      </c>
      <c r="C8" s="73">
        <f>-IS!E23</f>
        <v>5522.3215999999993</v>
      </c>
      <c r="D8" s="73">
        <f>-IS!F23</f>
        <v>5258.4359119999999</v>
      </c>
      <c r="E8" s="73">
        <f>-IS!G23</f>
        <v>5074.2692795999992</v>
      </c>
      <c r="F8" s="260">
        <f>-IS!H23</f>
        <v>4829.2163333802</v>
      </c>
      <c r="G8" s="92"/>
    </row>
    <row r="9" spans="1:8" x14ac:dyDescent="0.2">
      <c r="A9" s="126" t="s">
        <v>240</v>
      </c>
      <c r="B9" s="73">
        <f>CF!C9</f>
        <v>2762.5500000000011</v>
      </c>
      <c r="C9" s="73">
        <f>CF!D9</f>
        <v>782.72249999999985</v>
      </c>
      <c r="D9" s="73">
        <f>CF!E9</f>
        <v>743.58637500000077</v>
      </c>
      <c r="E9" s="73">
        <f>CF!F9</f>
        <v>706.4070562500001</v>
      </c>
      <c r="F9" s="260">
        <f>CF!G9</f>
        <v>671.08670343750055</v>
      </c>
      <c r="G9" s="92"/>
    </row>
    <row r="10" spans="1:8" x14ac:dyDescent="0.2">
      <c r="A10" s="126" t="s">
        <v>241</v>
      </c>
      <c r="B10" s="73">
        <f>CF!C10</f>
        <v>4893.3536675342548</v>
      </c>
      <c r="C10" s="73">
        <f>CF!D10</f>
        <v>917.7991195120303</v>
      </c>
      <c r="D10" s="73">
        <f>CF!E10</f>
        <v>344.04649353176865</v>
      </c>
      <c r="E10" s="73">
        <f>CF!F10</f>
        <v>394.40312471911238</v>
      </c>
      <c r="F10" s="260">
        <f>CF!G10</f>
        <v>204.89210834982441</v>
      </c>
      <c r="G10" s="92"/>
    </row>
    <row r="11" spans="1:8" x14ac:dyDescent="0.2">
      <c r="A11" s="126" t="s">
        <v>242</v>
      </c>
      <c r="B11" s="73">
        <f>CF!C11</f>
        <v>3906.7548012058687</v>
      </c>
      <c r="C11" s="73">
        <f>CF!D11</f>
        <v>-1272.4876136332059</v>
      </c>
      <c r="D11" s="73">
        <f>CF!E11</f>
        <v>1412.9641972998907</v>
      </c>
      <c r="E11" s="73">
        <f>CF!F11</f>
        <v>139.16458745366981</v>
      </c>
      <c r="F11" s="260">
        <f>CF!G11</f>
        <v>863.68823266751497</v>
      </c>
      <c r="G11" s="92"/>
    </row>
    <row r="12" spans="1:8" x14ac:dyDescent="0.2">
      <c r="A12" s="126" t="s">
        <v>243</v>
      </c>
      <c r="B12" s="73">
        <f>CF!C13</f>
        <v>219.02999999999975</v>
      </c>
      <c r="C12" s="73">
        <f>CF!D13</f>
        <v>225.60090000000037</v>
      </c>
      <c r="D12" s="73">
        <f>CF!E13</f>
        <v>232.36892700000044</v>
      </c>
      <c r="E12" s="73">
        <f>CF!F13</f>
        <v>239.33999481000046</v>
      </c>
      <c r="F12" s="260">
        <f>CF!G13</f>
        <v>246.52019465430021</v>
      </c>
      <c r="G12" s="92"/>
    </row>
    <row r="13" spans="1:8" x14ac:dyDescent="0.2">
      <c r="A13" s="126" t="s">
        <v>222</v>
      </c>
      <c r="B13" s="73">
        <f>CF!C12</f>
        <v>133.84000000000015</v>
      </c>
      <c r="C13" s="73">
        <f>CF!D12</f>
        <v>144.5472000000002</v>
      </c>
      <c r="D13" s="73">
        <f>CF!E12</f>
        <v>156.11097600000016</v>
      </c>
      <c r="E13" s="73">
        <f>CF!F12</f>
        <v>147.52487232000021</v>
      </c>
      <c r="F13" s="260">
        <f>CF!G12</f>
        <v>157.85161338240005</v>
      </c>
    </row>
    <row r="14" spans="1:8" x14ac:dyDescent="0.2">
      <c r="A14" s="488" t="s">
        <v>476</v>
      </c>
      <c r="B14" s="73">
        <f>-CF!C26</f>
        <v>-205.25000354993972</v>
      </c>
      <c r="C14" s="73">
        <f>-CF!D26</f>
        <v>-4086.3509641982273</v>
      </c>
      <c r="D14" s="73">
        <f>-CF!E26</f>
        <v>-3830.2355728316652</v>
      </c>
      <c r="E14" s="73">
        <f>-CF!F26</f>
        <v>386.90199249171201</v>
      </c>
      <c r="F14" s="260">
        <f>-CF!G26</f>
        <v>518.46908636727312</v>
      </c>
    </row>
    <row r="15" spans="1:8" x14ac:dyDescent="0.2">
      <c r="A15" s="135" t="s">
        <v>244</v>
      </c>
      <c r="B15" s="269">
        <f>(1-Inputs!B26)*IS!D25</f>
        <v>434.24799999999999</v>
      </c>
      <c r="C15" s="269">
        <f>(1-Inputs!C26)*IS!E25</f>
        <v>442.93296000000004</v>
      </c>
      <c r="D15" s="269">
        <f>(1-Inputs!D26)*IS!F25</f>
        <v>451.79161920000007</v>
      </c>
      <c r="E15" s="269">
        <f>(1-Inputs!E26)*IS!G25</f>
        <v>460.82745158400013</v>
      </c>
      <c r="F15" s="269">
        <f>(1-Inputs!F26)*IS!H25</f>
        <v>470.04400061568009</v>
      </c>
      <c r="G15" s="446"/>
    </row>
    <row r="16" spans="1:8" s="137" customFormat="1" x14ac:dyDescent="0.2">
      <c r="A16" s="257" t="s">
        <v>399</v>
      </c>
      <c r="B16" s="270">
        <f>(1-Inputs!B26)*IS!D26</f>
        <v>51.356999999999999</v>
      </c>
      <c r="C16" s="270">
        <f>(1-Inputs!C26)*IS!E26</f>
        <v>50.329859999999996</v>
      </c>
      <c r="D16" s="270">
        <f>(1-Inputs!D26)*IS!F26</f>
        <v>51.839755799999992</v>
      </c>
      <c r="E16" s="270">
        <f>(1-Inputs!E26)*IS!G26</f>
        <v>52.876550915999992</v>
      </c>
      <c r="F16" s="271">
        <f>(1-Inputs!F26)*IS!H26</f>
        <v>53.934081934319991</v>
      </c>
    </row>
    <row r="17" spans="1:7" x14ac:dyDescent="0.2">
      <c r="A17" s="256" t="s">
        <v>245</v>
      </c>
      <c r="B17" s="272">
        <f>B6+(SUM(B8:B16))</f>
        <v>21962.086139239229</v>
      </c>
      <c r="C17" s="272">
        <f t="shared" ref="C17:F17" si="0">C6+(SUM(C8:C16))</f>
        <v>18904.16532487463</v>
      </c>
      <c r="D17" s="272">
        <f t="shared" si="0"/>
        <v>19879.566514650225</v>
      </c>
      <c r="E17" s="272">
        <f t="shared" si="0"/>
        <v>21234.591750062482</v>
      </c>
      <c r="F17" s="272">
        <f t="shared" si="0"/>
        <v>19096.462023527565</v>
      </c>
      <c r="G17" s="219"/>
    </row>
    <row r="18" spans="1:7" x14ac:dyDescent="0.2">
      <c r="A18" s="172"/>
      <c r="B18" s="174"/>
      <c r="C18" s="105"/>
      <c r="D18" s="105"/>
      <c r="E18" s="105"/>
      <c r="F18" s="54"/>
      <c r="G18" s="92"/>
    </row>
    <row r="19" spans="1:7" x14ac:dyDescent="0.2">
      <c r="A19" s="470" t="s">
        <v>246</v>
      </c>
      <c r="B19" s="471"/>
      <c r="C19" s="471"/>
      <c r="D19" s="471"/>
      <c r="E19" s="471"/>
      <c r="F19" s="472"/>
      <c r="G19" s="92"/>
    </row>
    <row r="20" spans="1:7" x14ac:dyDescent="0.2">
      <c r="A20" s="156" t="s">
        <v>225</v>
      </c>
      <c r="B20" s="265">
        <f>CF!C16</f>
        <v>-17006.719999999998</v>
      </c>
      <c r="C20" s="258">
        <f>CF!D16</f>
        <v>-3893.615600000001</v>
      </c>
      <c r="D20" s="258">
        <f>CF!E16</f>
        <v>-4316.3032919999969</v>
      </c>
      <c r="E20" s="258">
        <f>CF!F16</f>
        <v>-3573.4001220000027</v>
      </c>
      <c r="F20" s="259">
        <f>CF!G16</f>
        <v>-3461.3354187504187</v>
      </c>
      <c r="G20" s="92"/>
    </row>
    <row r="21" spans="1:7" x14ac:dyDescent="0.2">
      <c r="A21" s="157" t="s">
        <v>226</v>
      </c>
      <c r="B21" s="266">
        <f>CF!C17</f>
        <v>-2.2799999999999994</v>
      </c>
      <c r="C21" s="261">
        <f>CF!D17</f>
        <v>1.6416000000000048</v>
      </c>
      <c r="D21" s="261">
        <f>CF!E17</f>
        <v>-0.97401599999999577</v>
      </c>
      <c r="E21" s="261">
        <f>CF!F17</f>
        <v>-0.91557503999999845</v>
      </c>
      <c r="F21" s="262">
        <f>CF!G17</f>
        <v>-0.86064053759999704</v>
      </c>
      <c r="G21" s="92"/>
    </row>
    <row r="22" spans="1:7" x14ac:dyDescent="0.2">
      <c r="A22" s="31" t="s">
        <v>247</v>
      </c>
      <c r="B22" s="263">
        <f>SUM(B20:B21)</f>
        <v>-17008.999999999996</v>
      </c>
      <c r="C22" s="263">
        <f>SUM(C20:C21)</f>
        <v>-3891.9740000000011</v>
      </c>
      <c r="D22" s="263">
        <f>SUM(D20:D21)</f>
        <v>-4317.277307999997</v>
      </c>
      <c r="E22" s="263">
        <f>SUM(E20:E21)</f>
        <v>-3574.3156970400028</v>
      </c>
      <c r="F22" s="264">
        <f>SUM(F20:F21)</f>
        <v>-3462.1960592880187</v>
      </c>
      <c r="G22" s="92"/>
    </row>
    <row r="23" spans="1:7" x14ac:dyDescent="0.2">
      <c r="A23" s="172"/>
      <c r="B23" s="173"/>
      <c r="C23" s="105"/>
      <c r="D23" s="105"/>
      <c r="E23" s="105"/>
      <c r="F23" s="54"/>
      <c r="G23" s="92"/>
    </row>
    <row r="24" spans="1:7" x14ac:dyDescent="0.2">
      <c r="A24" s="112" t="s">
        <v>248</v>
      </c>
      <c r="B24" s="267">
        <f>B17+B22</f>
        <v>4953.0861392392326</v>
      </c>
      <c r="C24" s="267">
        <f>C17+C22</f>
        <v>15012.191324874628</v>
      </c>
      <c r="D24" s="267">
        <f>D17+D22</f>
        <v>15562.289206650228</v>
      </c>
      <c r="E24" s="267">
        <f>E17+E22</f>
        <v>17660.27605302248</v>
      </c>
      <c r="F24" s="268">
        <f>F17+F22</f>
        <v>15634.265964239547</v>
      </c>
      <c r="G24" s="92"/>
    </row>
    <row r="25" spans="1:7" x14ac:dyDescent="0.2">
      <c r="A25" s="46"/>
      <c r="B25" s="7"/>
      <c r="C25" s="40"/>
      <c r="D25" s="40"/>
      <c r="E25" s="40"/>
      <c r="F25" s="88"/>
      <c r="G25" s="92"/>
    </row>
    <row r="26" spans="1:7" x14ac:dyDescent="0.2">
      <c r="A26" s="112" t="s">
        <v>249</v>
      </c>
      <c r="B26" s="110"/>
      <c r="C26" s="110"/>
      <c r="D26" s="110"/>
      <c r="E26" s="110"/>
      <c r="F26" s="90"/>
      <c r="G26" s="92"/>
    </row>
    <row r="27" spans="1:7" x14ac:dyDescent="0.2">
      <c r="A27" s="156" t="s">
        <v>230</v>
      </c>
      <c r="B27" s="258">
        <f>CF!C22</f>
        <v>0</v>
      </c>
      <c r="C27" s="258">
        <f>CF!D22</f>
        <v>0</v>
      </c>
      <c r="D27" s="258">
        <f>CF!E22</f>
        <v>0</v>
      </c>
      <c r="E27" s="258">
        <f>CF!F22</f>
        <v>0</v>
      </c>
      <c r="F27" s="259">
        <f>CF!G22</f>
        <v>0</v>
      </c>
      <c r="G27" s="92"/>
    </row>
    <row r="28" spans="1:7" x14ac:dyDescent="0.2">
      <c r="A28" s="126" t="s">
        <v>92</v>
      </c>
      <c r="B28" s="73">
        <f>CF!C23</f>
        <v>-4861.2861392392369</v>
      </c>
      <c r="C28" s="73">
        <f>CF!D23</f>
        <v>-14920.391324874628</v>
      </c>
      <c r="D28" s="73">
        <f>CF!E23</f>
        <v>-15470.489206650233</v>
      </c>
      <c r="E28" s="73">
        <f>CF!F23</f>
        <v>-17568.476053022481</v>
      </c>
      <c r="F28" s="260">
        <f>CF!G23</f>
        <v>-15542.465964239545</v>
      </c>
      <c r="G28" s="92"/>
    </row>
    <row r="29" spans="1:7" x14ac:dyDescent="0.2">
      <c r="A29" s="135" t="s">
        <v>250</v>
      </c>
      <c r="B29" s="269">
        <f>(1-Inputs!B26)*IS!D27</f>
        <v>-19.55</v>
      </c>
      <c r="C29" s="269">
        <f>(1-Inputs!C26)*IS!E27</f>
        <v>-19.55</v>
      </c>
      <c r="D29" s="269">
        <f>(1-Inputs!D26)*IS!F27</f>
        <v>-19.55</v>
      </c>
      <c r="E29" s="269">
        <f>(1-Inputs!E26)*IS!G27</f>
        <v>-19.55</v>
      </c>
      <c r="F29" s="269">
        <f>(1-Inputs!F26)*IS!H27</f>
        <v>-19.55</v>
      </c>
      <c r="G29" s="92"/>
    </row>
    <row r="30" spans="1:7" x14ac:dyDescent="0.2">
      <c r="A30" s="257" t="s">
        <v>398</v>
      </c>
      <c r="B30" s="270">
        <f>(1-Inputs!B26)*IS!D28</f>
        <v>-72.25</v>
      </c>
      <c r="C30" s="270">
        <f>(1-Inputs!C26)*IS!E28</f>
        <v>-72.25</v>
      </c>
      <c r="D30" s="270">
        <f>(1-Inputs!D26)*IS!F28</f>
        <v>-72.25</v>
      </c>
      <c r="E30" s="270">
        <f>(1-Inputs!E26)*IS!G28</f>
        <v>-72.25</v>
      </c>
      <c r="F30" s="271">
        <f>(1-Inputs!F26)*IS!H28</f>
        <v>-72.25</v>
      </c>
      <c r="G30" s="137"/>
    </row>
    <row r="31" spans="1:7" x14ac:dyDescent="0.2">
      <c r="A31" s="256" t="s">
        <v>251</v>
      </c>
      <c r="B31" s="272">
        <f>SUM(B27:B30)</f>
        <v>-4953.0861392392371</v>
      </c>
      <c r="C31" s="272">
        <f t="shared" ref="C31:F31" si="1">SUM(C27:C30)</f>
        <v>-15012.191324874628</v>
      </c>
      <c r="D31" s="272">
        <f t="shared" si="1"/>
        <v>-15562.289206650232</v>
      </c>
      <c r="E31" s="272">
        <f t="shared" si="1"/>
        <v>-17660.27605302248</v>
      </c>
      <c r="F31" s="272">
        <f t="shared" si="1"/>
        <v>-15634.265964239545</v>
      </c>
      <c r="G31" s="92"/>
    </row>
    <row r="32" spans="1:7" x14ac:dyDescent="0.2">
      <c r="A32" s="79"/>
      <c r="B32" s="79"/>
      <c r="C32" s="79"/>
      <c r="D32" s="79"/>
      <c r="E32" s="79"/>
      <c r="F32" s="79"/>
    </row>
  </sheetData>
  <mergeCells count="3">
    <mergeCell ref="A1:F1"/>
    <mergeCell ref="A3:F3"/>
    <mergeCell ref="A19:F1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zoomScale="70" zoomScaleNormal="70" workbookViewId="0">
      <selection activeCell="K31" sqref="J11:K31"/>
    </sheetView>
  </sheetViews>
  <sheetFormatPr defaultColWidth="17.140625" defaultRowHeight="12.75" customHeight="1" x14ac:dyDescent="0.2"/>
  <cols>
    <col min="1" max="1" width="26.7109375" customWidth="1"/>
    <col min="2" max="2" width="43.7109375" customWidth="1"/>
  </cols>
  <sheetData>
    <row r="1" spans="1:20" ht="12.75" customHeight="1" x14ac:dyDescent="0.2">
      <c r="A1" s="473" t="s">
        <v>317</v>
      </c>
      <c r="B1" s="474"/>
      <c r="C1" s="474"/>
      <c r="D1" s="474"/>
      <c r="E1" s="474"/>
      <c r="F1" s="474"/>
      <c r="G1" s="474"/>
      <c r="H1" s="475"/>
      <c r="I1" s="92"/>
    </row>
    <row r="2" spans="1:20" ht="12.75" customHeight="1" x14ac:dyDescent="0.2">
      <c r="A2" s="47" t="s">
        <v>4</v>
      </c>
      <c r="B2" s="63"/>
      <c r="C2" s="43">
        <v>2012</v>
      </c>
      <c r="D2" s="8" t="s">
        <v>127</v>
      </c>
      <c r="E2" s="8" t="s">
        <v>128</v>
      </c>
      <c r="F2" s="8" t="s">
        <v>129</v>
      </c>
      <c r="G2" s="8" t="s">
        <v>130</v>
      </c>
      <c r="H2" s="58" t="s">
        <v>131</v>
      </c>
      <c r="I2" s="92"/>
    </row>
    <row r="3" spans="1:20" ht="12.75" customHeight="1" x14ac:dyDescent="0.2">
      <c r="A3" s="22" t="s">
        <v>3</v>
      </c>
      <c r="B3" s="5"/>
      <c r="C3" s="5"/>
      <c r="D3" s="5"/>
      <c r="E3" s="5"/>
      <c r="F3" s="5"/>
      <c r="G3" s="5"/>
      <c r="H3" s="56"/>
      <c r="I3" s="92"/>
    </row>
    <row r="4" spans="1:20" ht="12.75" customHeight="1" x14ac:dyDescent="0.2">
      <c r="A4" s="17" t="s">
        <v>318</v>
      </c>
      <c r="B4" t="s">
        <v>319</v>
      </c>
      <c r="C4" s="109">
        <f>(IS!C7/IS!B7)-1</f>
        <v>-3.4513860920929007E-2</v>
      </c>
      <c r="D4" s="33">
        <f>(IS!D7/IS!C7)-1</f>
        <v>-1.3602356816038941E-2</v>
      </c>
      <c r="E4" s="33">
        <f>(IS!E7/IS!D7)-1</f>
        <v>0.11620813377211481</v>
      </c>
      <c r="F4" s="33">
        <f>(IS!F7/IS!E7)-1</f>
        <v>5.3642114373471328E-2</v>
      </c>
      <c r="G4" s="33">
        <f>(IS!G7/IS!F7)-1</f>
        <v>5.3660832578367623E-2</v>
      </c>
      <c r="H4" s="52">
        <f>(IS!H7/IS!G7)-1</f>
        <v>4.9999999999999822E-2</v>
      </c>
      <c r="I4" s="92"/>
    </row>
    <row r="5" spans="1:20" ht="12.75" customHeight="1" x14ac:dyDescent="0.2">
      <c r="A5" s="17" t="s">
        <v>320</v>
      </c>
      <c r="B5" t="s">
        <v>321</v>
      </c>
      <c r="C5" s="109">
        <f>(BS!C22/BS!B22)-1</f>
        <v>-0.15128251522906055</v>
      </c>
      <c r="D5" s="33">
        <f>(BS!D22/BS!C22)-1</f>
        <v>5.5581518695021259E-2</v>
      </c>
      <c r="E5" s="33">
        <f>(BS!E22/BS!D22)-1</f>
        <v>7.2657882878814917E-3</v>
      </c>
      <c r="F5" s="33">
        <f>(BS!F22/BS!E22)-1</f>
        <v>1.7200278204507979E-2</v>
      </c>
      <c r="G5" s="33">
        <f>(BS!G22/BS!F22)-1</f>
        <v>-2.8044016901290436E-2</v>
      </c>
      <c r="H5" s="52">
        <f>(BS!H22/BS!G22)-1</f>
        <v>-2.6668688297713183E-2</v>
      </c>
      <c r="I5" s="92"/>
    </row>
    <row r="6" spans="1:20" ht="12.75" customHeight="1" x14ac:dyDescent="0.2">
      <c r="A6" s="17" t="s">
        <v>322</v>
      </c>
      <c r="B6" t="s">
        <v>323</v>
      </c>
      <c r="C6" s="109">
        <f>(BS!C28/BS!B28)-1</f>
        <v>-0.1431291351325622</v>
      </c>
      <c r="D6" s="33">
        <f>(BS!D28/BS!C28)-1</f>
        <v>1.6877590473416859E-2</v>
      </c>
      <c r="E6" s="33">
        <f>(BS!E28/BS!D28)-1</f>
        <v>2.2640618092301334E-2</v>
      </c>
      <c r="F6" s="33">
        <f>(BS!F28/BS!E28)-1</f>
        <v>0</v>
      </c>
      <c r="G6" s="33">
        <f>(BS!G28/BS!F28)-1</f>
        <v>-4.692363229967822E-2</v>
      </c>
      <c r="H6" s="52">
        <f>(BS!H28/BS!G28)-1</f>
        <v>-5.6461711178496521E-2</v>
      </c>
      <c r="I6" s="92"/>
    </row>
    <row r="7" spans="1:20" ht="12.75" customHeight="1" x14ac:dyDescent="0.2">
      <c r="A7" s="17" t="s">
        <v>324</v>
      </c>
      <c r="B7" t="s">
        <v>325</v>
      </c>
      <c r="C7" s="109">
        <f>(IS!C31/IS!B31)-1</f>
        <v>-1.8911348393519933E-3</v>
      </c>
      <c r="D7" s="33">
        <f>(IS!D31/IS!C31)-1</f>
        <v>-0.77427696336380125</v>
      </c>
      <c r="E7" s="33">
        <f>(IS!E31/IS!D31)-1</f>
        <v>1.7282018969224349</v>
      </c>
      <c r="F7" s="33">
        <f>(IS!F31/IS!E31)-1</f>
        <v>-6.6818022207456806E-2</v>
      </c>
      <c r="G7" s="33">
        <f>(IS!G31/IS!F31)-1</f>
        <v>-9.1510251894534878E-2</v>
      </c>
      <c r="H7" s="52">
        <f>(IS!H31/IS!G31)-1</f>
        <v>-0.18085255968261238</v>
      </c>
      <c r="I7" s="92"/>
    </row>
    <row r="8" spans="1:20" ht="12.75" customHeight="1" x14ac:dyDescent="0.2">
      <c r="A8" s="17" t="s">
        <v>326</v>
      </c>
      <c r="B8" t="s">
        <v>327</v>
      </c>
      <c r="C8" s="109">
        <f>(BS!C41/BS!B41)-1</f>
        <v>-0.17267759562841534</v>
      </c>
      <c r="D8" s="33">
        <f>(BS!D41/BS!C41)-1</f>
        <v>0.16077089266676237</v>
      </c>
      <c r="E8" s="33">
        <f>(BS!E41/BS!D41)-1</f>
        <v>-2.9339961695706407E-2</v>
      </c>
      <c r="F8" s="33">
        <f>(BS!F41/BS!E41)-1</f>
        <v>6.0345266131093256E-2</v>
      </c>
      <c r="G8" s="33">
        <f>(BS!G41/BS!F41)-1</f>
        <v>1.6618245772493712E-2</v>
      </c>
      <c r="H8" s="52">
        <f>(BS!H41/BS!G41)-1</f>
        <v>3.9405517204535778E-2</v>
      </c>
      <c r="I8" s="92"/>
    </row>
    <row r="9" spans="1:20" ht="12.75" customHeight="1" x14ac:dyDescent="0.2">
      <c r="A9" s="3" t="s">
        <v>328</v>
      </c>
      <c r="B9" s="9"/>
      <c r="C9" s="9"/>
      <c r="D9" s="9"/>
      <c r="E9" s="9"/>
      <c r="F9" s="9"/>
      <c r="G9" s="9"/>
      <c r="H9" s="18"/>
      <c r="I9" s="71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</row>
    <row r="10" spans="1:20" s="118" customFormat="1" ht="12.75" customHeight="1" x14ac:dyDescent="0.2">
      <c r="A10" s="17" t="s">
        <v>329</v>
      </c>
      <c r="B10" t="s">
        <v>330</v>
      </c>
      <c r="C10" s="109">
        <f>IS!C31/IS!C7</f>
        <v>0.11697453238674328</v>
      </c>
      <c r="D10" s="33">
        <f>IS!D31/IS!D7</f>
        <v>2.6767953919888683E-2</v>
      </c>
      <c r="E10" s="33">
        <f>IS!E31/IS!E7</f>
        <v>6.5425417044920151E-2</v>
      </c>
      <c r="F10" s="33">
        <f>IS!F31/IS!F7</f>
        <v>5.794550088972579E-2</v>
      </c>
      <c r="G10" s="33">
        <f>IS!G31/IS!G7</f>
        <v>4.996189654153875E-2</v>
      </c>
      <c r="H10" s="52">
        <f>IS!H31/IS!H7</f>
        <v>3.8977294919432012E-2</v>
      </c>
      <c r="I10" s="125"/>
    </row>
    <row r="11" spans="1:20" s="118" customFormat="1" ht="12.75" customHeight="1" x14ac:dyDescent="0.2">
      <c r="A11" s="392" t="s">
        <v>464</v>
      </c>
      <c r="B11" t="s">
        <v>465</v>
      </c>
      <c r="C11" s="109">
        <f>IS!C15/IS!C7</f>
        <v>0.21061712540580552</v>
      </c>
      <c r="D11" s="449">
        <f>IS!D15/IS!D7</f>
        <v>0.1098149901091094</v>
      </c>
      <c r="E11" s="449">
        <f>IS!E15/IS!E7</f>
        <v>0.15434874988035896</v>
      </c>
      <c r="F11" s="449">
        <f>IS!F15/IS!F7</f>
        <v>0.14267873251060767</v>
      </c>
      <c r="G11" s="449">
        <f>IS!G15/IS!G7</f>
        <v>0.13085178628545083</v>
      </c>
      <c r="H11" s="449">
        <f>IS!H15/IS!H7</f>
        <v>0.11577814788574145</v>
      </c>
      <c r="I11" s="135"/>
    </row>
    <row r="12" spans="1:20" s="118" customFormat="1" ht="12.75" customHeight="1" x14ac:dyDescent="0.2">
      <c r="A12" s="44" t="s">
        <v>331</v>
      </c>
      <c r="B12" s="2" t="s">
        <v>332</v>
      </c>
      <c r="C12" s="59">
        <f t="shared" ref="C12:H12" si="0">(1-C15)*(C13+((C13-C16)*C28))</f>
        <v>0.31973248190687042</v>
      </c>
      <c r="D12" s="59">
        <f t="shared" si="0"/>
        <v>8.4678100683938537E-2</v>
      </c>
      <c r="E12" s="59">
        <f t="shared" si="0"/>
        <v>0.22670554101130824</v>
      </c>
      <c r="F12" s="59">
        <f t="shared" si="0"/>
        <v>0.20687317090827856</v>
      </c>
      <c r="G12" s="59">
        <f t="shared" si="0"/>
        <v>0.18795325186721609</v>
      </c>
      <c r="H12" s="111">
        <f t="shared" si="0"/>
        <v>0.1615758172662716</v>
      </c>
      <c r="I12" s="447"/>
      <c r="J12" s="123"/>
      <c r="K12" s="123"/>
      <c r="L12" s="123"/>
      <c r="M12" s="123"/>
      <c r="N12" s="123"/>
    </row>
    <row r="13" spans="1:20" s="118" customFormat="1" ht="12.75" customHeight="1" x14ac:dyDescent="0.2">
      <c r="A13" s="17" t="s">
        <v>40</v>
      </c>
      <c r="B13" t="s">
        <v>333</v>
      </c>
      <c r="C13" s="38">
        <f>(IS!C24+IS!C25)/C14</f>
        <v>0.34734090078712726</v>
      </c>
      <c r="D13" s="33">
        <f>(IS!D24+IS!D25)/D14</f>
        <v>9.9480656954750196E-2</v>
      </c>
      <c r="E13" s="33">
        <f>(IS!E24+IS!E25)/E14</f>
        <v>0.26581764152503168</v>
      </c>
      <c r="F13" s="33">
        <f>(IS!F24+IS!F25)/F14</f>
        <v>0.24260846313736725</v>
      </c>
      <c r="G13" s="33">
        <f>(IS!G24+IS!G25)/G14</f>
        <v>0.22044828223120141</v>
      </c>
      <c r="H13" s="52">
        <f>(IS!H24+IS!H25)/H14</f>
        <v>0.18952714028507134</v>
      </c>
      <c r="I13" s="125"/>
    </row>
    <row r="14" spans="1:20" s="118" customFormat="1" ht="12.75" customHeight="1" x14ac:dyDescent="0.2">
      <c r="A14" s="17" t="s">
        <v>334</v>
      </c>
      <c r="B14" t="s">
        <v>335</v>
      </c>
      <c r="C14" s="24">
        <f>(BS!B28+BS!B32)+BS!B36</f>
        <v>85523</v>
      </c>
      <c r="D14" s="73">
        <f>(BS!C28+BS!C32)+BS!C36</f>
        <v>72341</v>
      </c>
      <c r="E14" s="73">
        <f>(BS!D28+BS!D32)+BS!D36</f>
        <v>73556.321534809802</v>
      </c>
      <c r="F14" s="73">
        <f>(BS!E28+BS!E32)+BS!E36</f>
        <v>75214.142793129213</v>
      </c>
      <c r="G14" s="73">
        <f>(BS!F28+BS!F32)+BS!F36</f>
        <v>75214.142793129213</v>
      </c>
      <c r="H14" s="62">
        <f>(BS!G28+BS!G32)+BS!G36</f>
        <v>71700.447582524721</v>
      </c>
      <c r="I14" s="125"/>
    </row>
    <row r="15" spans="1:20" s="118" customFormat="1" ht="12.75" customHeight="1" x14ac:dyDescent="0.2">
      <c r="A15" s="17" t="s">
        <v>336</v>
      </c>
      <c r="B15" t="s">
        <v>337</v>
      </c>
      <c r="C15" s="38">
        <f>-IS!C30/IS!C29</f>
        <v>9.478932470654404E-2</v>
      </c>
      <c r="D15" s="33">
        <f>-IS!D30/IS!D29</f>
        <v>0.15</v>
      </c>
      <c r="E15" s="33">
        <f>-IS!E30/IS!E29</f>
        <v>0.15</v>
      </c>
      <c r="F15" s="33">
        <f>-IS!F30/IS!F29</f>
        <v>0.15</v>
      </c>
      <c r="G15" s="33">
        <f>-IS!G30/IS!G29</f>
        <v>0.15</v>
      </c>
      <c r="H15" s="52">
        <f>-IS!H30/IS!H29</f>
        <v>0.15</v>
      </c>
      <c r="I15" s="125"/>
    </row>
    <row r="16" spans="1:20" s="118" customFormat="1" ht="12.75" customHeight="1" x14ac:dyDescent="0.2">
      <c r="A16" s="17" t="s">
        <v>263</v>
      </c>
      <c r="B16" t="s">
        <v>338</v>
      </c>
      <c r="C16" s="38">
        <f>-(IS!C27/(BS!B36+BS!B32))</f>
        <v>1.546738399462004E-2</v>
      </c>
      <c r="D16" s="33">
        <f>-IS!D27/(BS!C36+BS!C32)</f>
        <v>6.9069069069069067E-2</v>
      </c>
      <c r="E16" s="33">
        <f>-IS!E27/(BS!D36+BS!D32)</f>
        <v>6.9069069069069067E-2</v>
      </c>
      <c r="F16" s="33">
        <f>-IS!F27/(BS!E36+BS!E32)</f>
        <v>6.9069069069069067E-2</v>
      </c>
      <c r="G16" s="33">
        <f>-IS!G27/(BS!F36+BS!F32)</f>
        <v>6.9069069069069067E-2</v>
      </c>
      <c r="H16" s="52">
        <f>-IS!H27/(BS!G36+BS!G32)</f>
        <v>6.9069069069069067E-2</v>
      </c>
      <c r="I16" s="125"/>
    </row>
    <row r="17" spans="1:14" s="118" customFormat="1" ht="12.75" customHeight="1" x14ac:dyDescent="0.2">
      <c r="A17" s="44" t="s">
        <v>339</v>
      </c>
      <c r="B17" s="2" t="s">
        <v>340</v>
      </c>
      <c r="C17" s="59">
        <f t="shared" ref="C17:H17" si="1">(1-C15)*(C18+((C18-C19)*C27))</f>
        <v>0.31973248190687037</v>
      </c>
      <c r="D17" s="59">
        <f t="shared" si="1"/>
        <v>8.4678100683938537E-2</v>
      </c>
      <c r="E17" s="59">
        <f t="shared" si="1"/>
        <v>0.22670554101130819</v>
      </c>
      <c r="F17" s="59">
        <f t="shared" si="1"/>
        <v>0.20687317090827853</v>
      </c>
      <c r="G17" s="59">
        <f t="shared" si="1"/>
        <v>0.18795325186721609</v>
      </c>
      <c r="H17" s="111">
        <f t="shared" si="1"/>
        <v>0.1615758172662716</v>
      </c>
      <c r="I17" s="126"/>
    </row>
    <row r="18" spans="1:14" s="118" customFormat="1" ht="12.75" customHeight="1" x14ac:dyDescent="0.2">
      <c r="A18" s="17" t="s">
        <v>341</v>
      </c>
      <c r="B18" t="s">
        <v>342</v>
      </c>
      <c r="C18" s="109">
        <f>(IS!C24+IS!C25)/BS!B22</f>
        <v>0.25594847414736632</v>
      </c>
      <c r="D18" s="33">
        <f>(IS!D24+IS!D25)/BS!C22</f>
        <v>7.3058995205867686E-2</v>
      </c>
      <c r="E18" s="33">
        <f>(IS!E24+IS!E25)/BS!D22</f>
        <v>0.18804533652216843</v>
      </c>
      <c r="F18" s="33">
        <f>(IS!F24+IS!F25)/BS!E22</f>
        <v>0.17422887729001829</v>
      </c>
      <c r="G18" s="33">
        <f>(IS!G24+IS!G25)/BS!F22</f>
        <v>0.15563756954687061</v>
      </c>
      <c r="H18" s="52">
        <f>(IS!H24+IS!H25)/BS!G22</f>
        <v>0.13123657563201196</v>
      </c>
      <c r="I18" s="125"/>
    </row>
    <row r="19" spans="1:14" s="118" customFormat="1" ht="12.75" customHeight="1" x14ac:dyDescent="0.2">
      <c r="A19" s="17" t="s">
        <v>343</v>
      </c>
      <c r="B19" t="s">
        <v>344</v>
      </c>
      <c r="C19" s="109">
        <f>-IS!C27/BS!B41</f>
        <v>7.1818891491022639E-4</v>
      </c>
      <c r="D19" s="33">
        <f>-IS!D27/BS!C41</f>
        <v>8.6808831855066993E-4</v>
      </c>
      <c r="E19" s="33">
        <f>-IS!E27/BS!D41</f>
        <v>7.4785500225313059E-4</v>
      </c>
      <c r="F19" s="33">
        <f>-IS!F27/BS!E41</f>
        <v>7.7046027727648611E-4</v>
      </c>
      <c r="G19" s="33">
        <f>-IS!G27/BS!F41</f>
        <v>7.266126439057748E-4</v>
      </c>
      <c r="H19" s="52">
        <f>-IS!H27/BS!G41</f>
        <v>7.1473500198065661E-4</v>
      </c>
      <c r="I19" s="448"/>
      <c r="J19" s="123"/>
      <c r="K19" s="123"/>
      <c r="L19" s="123"/>
      <c r="M19" s="123"/>
      <c r="N19" s="123"/>
    </row>
    <row r="20" spans="1:14" s="118" customFormat="1" ht="12.75" customHeight="1" x14ac:dyDescent="0.2">
      <c r="A20" s="17" t="s">
        <v>345</v>
      </c>
      <c r="B20" t="s">
        <v>346</v>
      </c>
      <c r="C20" s="109">
        <f t="shared" ref="C20:H20" si="2">C21*C22</f>
        <v>0.34734090078712726</v>
      </c>
      <c r="D20" s="123">
        <f>D21*D22</f>
        <v>9.9480656954750196E-2</v>
      </c>
      <c r="E20" s="123">
        <f t="shared" si="2"/>
        <v>0.26581764152503162</v>
      </c>
      <c r="F20" s="123">
        <f t="shared" si="2"/>
        <v>0.24260846313736725</v>
      </c>
      <c r="G20" s="123">
        <f t="shared" si="2"/>
        <v>0.22044828223120141</v>
      </c>
      <c r="H20" s="124">
        <f t="shared" si="2"/>
        <v>0.18952714028507134</v>
      </c>
      <c r="I20" s="125"/>
    </row>
    <row r="21" spans="1:14" s="118" customFormat="1" ht="12.75" customHeight="1" x14ac:dyDescent="0.2">
      <c r="A21" s="17" t="s">
        <v>347</v>
      </c>
      <c r="B21" t="s">
        <v>348</v>
      </c>
      <c r="C21" s="109">
        <f>(IS!C24+IS!C25)/IS!C7</f>
        <v>0.12907580942994723</v>
      </c>
      <c r="D21" s="123">
        <f>(IS!D24+IS!D25)/IS!D7</f>
        <v>3.1701304286415884E-2</v>
      </c>
      <c r="E21" s="123">
        <f>(IS!E24+IS!E25)/IS!E7</f>
        <v>7.7163620828709326E-2</v>
      </c>
      <c r="F21" s="123">
        <f>(IS!F24+IS!F25)/IS!F7</f>
        <v>6.8347263539208156E-2</v>
      </c>
      <c r="G21" s="123">
        <f>(IS!G24+IS!G25)/IS!G7</f>
        <v>5.8941484131770916E-2</v>
      </c>
      <c r="H21" s="124">
        <f>(IS!H24+IS!H25)/IS!H7</f>
        <v>4.6006459750695068E-2</v>
      </c>
      <c r="I21" s="125"/>
    </row>
    <row r="22" spans="1:14" ht="12.75" customHeight="1" x14ac:dyDescent="0.2">
      <c r="A22" s="17" t="s">
        <v>34</v>
      </c>
      <c r="B22" t="s">
        <v>349</v>
      </c>
      <c r="C22" s="108">
        <f>IS!C7/((BS!B28+BS!B32)+BS!B36)</f>
        <v>2.6909837119839106</v>
      </c>
      <c r="D22" s="120">
        <f>IS!D7/((BS!C28+BS!C32)+BS!C36)</f>
        <v>3.1380619565668151</v>
      </c>
      <c r="E22" s="120">
        <f>IS!E7/((BS!D28+BS!D32)+BS!D36)</f>
        <v>3.4448570280949298</v>
      </c>
      <c r="F22" s="120">
        <f>IS!F7/((BS!E28+BS!E32)+BS!E36)</f>
        <v>3.5496441345920493</v>
      </c>
      <c r="G22" s="120">
        <f>IS!G7/((BS!F28+BS!F32)+BS!F36)</f>
        <v>3.7401209942111779</v>
      </c>
      <c r="H22" s="176">
        <f>IS!H7/((BS!G28+BS!G32)+BS!G36)</f>
        <v>4.1195767140549853</v>
      </c>
      <c r="I22" s="219"/>
    </row>
    <row r="23" spans="1:14" ht="12.75" customHeight="1" x14ac:dyDescent="0.2">
      <c r="A23" s="22" t="s">
        <v>350</v>
      </c>
      <c r="B23" s="5"/>
      <c r="C23" s="5"/>
      <c r="D23" s="5"/>
      <c r="E23" s="5"/>
      <c r="F23" s="5"/>
      <c r="G23" s="5"/>
      <c r="H23" s="423"/>
      <c r="I23" s="219"/>
      <c r="J23" s="137"/>
      <c r="K23" s="137"/>
      <c r="L23" s="137"/>
      <c r="M23" s="137"/>
    </row>
    <row r="24" spans="1:14" ht="12.75" customHeight="1" x14ac:dyDescent="0.2">
      <c r="A24" s="17" t="s">
        <v>351</v>
      </c>
      <c r="B24" t="s">
        <v>352</v>
      </c>
      <c r="C24" s="108">
        <f>BS!C21-BS!C40</f>
        <v>35131</v>
      </c>
      <c r="D24" s="73">
        <f>BS!D21-BS!D40</f>
        <v>23554.561534809822</v>
      </c>
      <c r="E24" s="73">
        <f>BS!E21-BS!E40</f>
        <v>26987.27759312922</v>
      </c>
      <c r="F24" s="73">
        <f>BS!F21-BS!F40</f>
        <v>28084.547173129227</v>
      </c>
      <c r="G24" s="73">
        <f>BS!G21-BS!G40</f>
        <v>26218.330417404726</v>
      </c>
      <c r="H24" s="269">
        <f>BS!H21-BS!H40</f>
        <v>23713.674091928311</v>
      </c>
      <c r="I24" s="219"/>
      <c r="J24" s="137"/>
      <c r="K24" s="137"/>
      <c r="L24" s="137"/>
      <c r="M24" s="137"/>
    </row>
    <row r="25" spans="1:14" ht="12.75" customHeight="1" x14ac:dyDescent="0.2">
      <c r="A25" s="17" t="s">
        <v>353</v>
      </c>
      <c r="B25" t="s">
        <v>354</v>
      </c>
      <c r="C25" s="109">
        <f>C24/IS!C7</f>
        <v>0.15264989723691127</v>
      </c>
      <c r="D25" s="33">
        <f>D24/IS!D7</f>
        <v>0.10375977051466344</v>
      </c>
      <c r="E25" s="33">
        <f>E24/IS!E7</f>
        <v>0.10650447884999491</v>
      </c>
      <c r="F25" s="33">
        <f>F24/IS!F7</f>
        <v>0.10519209389374408</v>
      </c>
      <c r="G25" s="33">
        <f>G24/IS!G7</f>
        <v>9.3200849340379685E-2</v>
      </c>
      <c r="H25" s="282">
        <f>H24/IS!H7</f>
        <v>8.0283146549709694E-2</v>
      </c>
      <c r="I25" s="219"/>
      <c r="J25" s="137"/>
      <c r="K25" s="137"/>
      <c r="L25" s="137"/>
      <c r="M25" s="137"/>
    </row>
    <row r="26" spans="1:14" ht="12.75" customHeight="1" x14ac:dyDescent="0.2">
      <c r="A26" s="17" t="s">
        <v>355</v>
      </c>
      <c r="B26" t="s">
        <v>356</v>
      </c>
      <c r="C26" s="108">
        <f>BS!C28/BS!C22</f>
        <v>0.73102342060647896</v>
      </c>
      <c r="D26" s="120">
        <f>BS!D28/BS!D22</f>
        <v>0.70421973230920454</v>
      </c>
      <c r="E26" s="120">
        <f>BS!E28/BS!E22</f>
        <v>0.71496888973623474</v>
      </c>
      <c r="F26" s="120">
        <f>BS!F28/BS!F22</f>
        <v>0.70287917242634723</v>
      </c>
      <c r="G26" s="120">
        <f>BS!G28/BS!G22</f>
        <v>0.68922619978386201</v>
      </c>
      <c r="H26" s="176">
        <f>BS!H28/BS!H22</f>
        <v>0.66812944506805694</v>
      </c>
      <c r="I26" s="219"/>
    </row>
    <row r="27" spans="1:14" ht="12.75" customHeight="1" x14ac:dyDescent="0.2">
      <c r="A27" s="17" t="s">
        <v>357</v>
      </c>
      <c r="B27" t="s">
        <v>358</v>
      </c>
      <c r="C27" s="108">
        <f>BS!B41/BS!B28</f>
        <v>0.38108667713836925</v>
      </c>
      <c r="D27" s="120">
        <f>BS!C41/BS!C28</f>
        <v>0.36794522830796578</v>
      </c>
      <c r="E27" s="120">
        <f>BS!D41/BS!D28</f>
        <v>0.42001133186214934</v>
      </c>
      <c r="F27" s="120">
        <f>BS!E41/BS!E28</f>
        <v>0.39866225559676938</v>
      </c>
      <c r="G27" s="120">
        <f>BS!F41/BS!F28</f>
        <v>0.42271963550717834</v>
      </c>
      <c r="H27" s="121">
        <f>BS!G41/BS!G28</f>
        <v>0.45090247630399871</v>
      </c>
      <c r="I27" s="92"/>
    </row>
    <row r="28" spans="1:14" ht="12.75" customHeight="1" x14ac:dyDescent="0.2">
      <c r="A28" s="17" t="s">
        <v>359</v>
      </c>
      <c r="B28" t="s">
        <v>360</v>
      </c>
      <c r="C28" s="108">
        <f>(BS!B32+BS!B36)/BS!B28</f>
        <v>1.7694797467751915E-2</v>
      </c>
      <c r="D28" s="120">
        <f>(BS!C32+BS!C36)/BS!C28</f>
        <v>4.6244861682035333E-3</v>
      </c>
      <c r="E28" s="120">
        <f>(BS!D32+BS!D36)/BS!D28</f>
        <v>4.5477314197184347E-3</v>
      </c>
      <c r="F28" s="120">
        <f>(BS!E32+BS!E36)/BS!E28</f>
        <v>4.4470475152865148E-3</v>
      </c>
      <c r="G28" s="120">
        <f>(BS!F32+BS!F36)/BS!F28</f>
        <v>4.4470475152865148E-3</v>
      </c>
      <c r="H28" s="121">
        <f>(BS!G32+BS!G36)/BS!G28</f>
        <v>4.6659928479989461E-3</v>
      </c>
      <c r="I28" s="92"/>
    </row>
    <row r="29" spans="1:14" ht="12.75" customHeight="1" x14ac:dyDescent="0.2">
      <c r="A29" s="17" t="s">
        <v>361</v>
      </c>
      <c r="B29" t="s">
        <v>362</v>
      </c>
      <c r="C29" s="108">
        <f>BS!C28/IS!C7</f>
        <v>0.31288644787326031</v>
      </c>
      <c r="D29" s="120">
        <f>BS!D28/IS!D7</f>
        <v>0.32255472162133886</v>
      </c>
      <c r="E29" s="120">
        <f>BS!E28/IS!E7</f>
        <v>0.29551617651514078</v>
      </c>
      <c r="F29" s="120">
        <f>BS!F28/IS!F7</f>
        <v>0.2804711129934892</v>
      </c>
      <c r="G29" s="120">
        <f>BS!G28/IS!G7</f>
        <v>0.25369680769339942</v>
      </c>
      <c r="H29" s="122">
        <f>BS!H28/IS!H7</f>
        <v>0.22797395410524582</v>
      </c>
      <c r="I29" s="92"/>
    </row>
    <row r="30" spans="1:14" ht="12.75" customHeight="1" x14ac:dyDescent="0.2">
      <c r="A30" s="17" t="s">
        <v>296</v>
      </c>
      <c r="B30" t="s">
        <v>363</v>
      </c>
      <c r="C30" s="108">
        <f>-CF!B23/IS!C31</f>
        <v>1.4467947957632594</v>
      </c>
      <c r="D30" s="120">
        <f>-CF!C23/IS!D31</f>
        <v>0.8</v>
      </c>
      <c r="E30" s="120">
        <f>-CF!D23/IS!E31</f>
        <v>0.9</v>
      </c>
      <c r="F30" s="120">
        <f>-CF!E23/IS!F31</f>
        <v>1</v>
      </c>
      <c r="G30" s="120">
        <f>-CF!F23/IS!G31</f>
        <v>1.2499999999999998</v>
      </c>
      <c r="H30" s="122">
        <f>-CF!G23/IS!H31</f>
        <v>1.35</v>
      </c>
      <c r="I30" s="92"/>
    </row>
    <row r="31" spans="1:14" ht="12.75" customHeight="1" x14ac:dyDescent="0.2">
      <c r="A31" s="17" t="s">
        <v>364</v>
      </c>
      <c r="B31" t="s">
        <v>365</v>
      </c>
      <c r="C31" s="108">
        <f>BS!C41/BS!C22</f>
        <v>0.26897657939352099</v>
      </c>
      <c r="D31" s="73">
        <f>BS!D41/BS!D22</f>
        <v>0.2957802676907953</v>
      </c>
      <c r="E31" s="73">
        <f>BS!E41/BS!E22</f>
        <v>0.28503111026376526</v>
      </c>
      <c r="F31" s="73">
        <f>BS!F41/BS!F22</f>
        <v>0.29712082757365266</v>
      </c>
      <c r="G31" s="73">
        <f>BS!G41/BS!G22</f>
        <v>0.31077380021613793</v>
      </c>
      <c r="H31" s="62">
        <f>BS!H41/BS!H22</f>
        <v>0.33187055493194301</v>
      </c>
      <c r="I31" s="92"/>
    </row>
    <row r="32" spans="1:14" ht="12.75" customHeight="1" x14ac:dyDescent="0.2">
      <c r="A32" s="22" t="s">
        <v>366</v>
      </c>
      <c r="B32" s="85"/>
      <c r="C32" s="85"/>
      <c r="D32" s="85"/>
      <c r="E32" s="85"/>
      <c r="F32" s="85"/>
      <c r="G32" s="85"/>
      <c r="H32" s="95"/>
      <c r="I32" s="92"/>
    </row>
    <row r="33" spans="1:20" ht="12.75" customHeight="1" x14ac:dyDescent="0.2">
      <c r="A33" s="17" t="s">
        <v>367</v>
      </c>
      <c r="B33" t="s">
        <v>368</v>
      </c>
      <c r="C33" s="108">
        <f>(BS!C21-BS!C16)/BS!C40</f>
        <v>1.681036590334936</v>
      </c>
      <c r="D33" s="73">
        <f>(BS!D21-BS!D16)/BS!D40</f>
        <v>1.2755745373977245</v>
      </c>
      <c r="E33" s="73">
        <f>(BS!E21-BS!E16)/BS!E40</f>
        <v>1.4386370803265196</v>
      </c>
      <c r="F33" s="73">
        <f>(BS!F21-BS!F16)/BS!F40</f>
        <v>1.4768774615047622</v>
      </c>
      <c r="G33" s="73">
        <f>(BS!G21-BS!G16)/BS!G40</f>
        <v>1.4316650496573464</v>
      </c>
      <c r="H33" s="62">
        <f>(BS!H21-BS!H16)/BS!H40</f>
        <v>1.3564638793578692</v>
      </c>
      <c r="I33" s="92"/>
    </row>
    <row r="34" spans="1:20" ht="12.75" customHeight="1" x14ac:dyDescent="0.2">
      <c r="A34" s="17" t="s">
        <v>369</v>
      </c>
      <c r="B34" t="s">
        <v>370</v>
      </c>
      <c r="C34" s="108">
        <f>BS!C21/BS!C40</f>
        <v>2.4314644283269495</v>
      </c>
      <c r="D34" s="73">
        <f>BS!D21/BS!D40</f>
        <v>1.8216387034487238</v>
      </c>
      <c r="E34" s="73">
        <f>BS!E21/BS!E40</f>
        <v>1.977060105271214</v>
      </c>
      <c r="F34" s="73">
        <f>BS!F21/BS!F40</f>
        <v>1.9596229514422769</v>
      </c>
      <c r="G34" s="73">
        <f>BS!G21/BS!G40</f>
        <v>1.884417746188541</v>
      </c>
      <c r="H34" s="62">
        <f>BS!H21/BS!H40</f>
        <v>1.7710524174966</v>
      </c>
      <c r="I34" s="92"/>
    </row>
    <row r="35" spans="1:20" ht="12.75" customHeight="1" x14ac:dyDescent="0.2">
      <c r="A35" s="119" t="s">
        <v>371</v>
      </c>
      <c r="B35" s="118" t="s">
        <v>372</v>
      </c>
      <c r="C35" s="108">
        <f>(BS!C20+BS!C18)/BS!C40</f>
        <v>1.0002444788525793</v>
      </c>
      <c r="D35" s="120">
        <f>(BS!D20+BS!D18)/BS!D40</f>
        <v>0.6024637105139512</v>
      </c>
      <c r="E35" s="120">
        <f>(BS!E20+BS!E18)/BS!E40</f>
        <v>0.72293615886198648</v>
      </c>
      <c r="F35" s="120">
        <f>(BS!F20+BS!F18)/BS!F40</f>
        <v>0.77043835529573623</v>
      </c>
      <c r="G35" s="120">
        <f>(BS!G20+BS!G18)/BS!G40</f>
        <v>0.70958385813136382</v>
      </c>
      <c r="H35" s="122">
        <f>(BS!H20+BS!H18)/BS!H40</f>
        <v>0.63417470785437802</v>
      </c>
      <c r="I35" s="125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</row>
    <row r="36" spans="1:20" ht="12.75" customHeight="1" x14ac:dyDescent="0.2">
      <c r="A36" s="117" t="s">
        <v>373</v>
      </c>
      <c r="B36" s="118" t="s">
        <v>374</v>
      </c>
      <c r="C36" s="108">
        <f>((BS!C20)/IS!C7)*365</f>
        <v>5.0291560391238415</v>
      </c>
      <c r="D36" s="120">
        <f>((BS!D20)/IS!D7)*365</f>
        <v>5.4285199766307244</v>
      </c>
      <c r="E36" s="120">
        <f>((BS!E20)/IS!E7)*365</f>
        <v>10.749589499361377</v>
      </c>
      <c r="F36" s="120">
        <f>((BS!F20)/IS!F7)*365</f>
        <v>15.438730300646737</v>
      </c>
      <c r="G36" s="120">
        <f>((BS!G20)/IS!G7)*365</f>
        <v>14.15046101299578</v>
      </c>
      <c r="H36" s="121">
        <f>((BS!H20)/IS!H7)*365</f>
        <v>12.835949384281303</v>
      </c>
      <c r="I36" s="126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</row>
    <row r="37" spans="1:20" ht="12.75" customHeight="1" x14ac:dyDescent="0.2">
      <c r="A37" s="117" t="s">
        <v>375</v>
      </c>
      <c r="B37" s="118" t="s">
        <v>376</v>
      </c>
      <c r="C37" s="108">
        <f>-IS!C24/IS!C27</f>
        <v>1269.9841677398906</v>
      </c>
      <c r="D37" s="120">
        <f>-IS!D24/IS!D27</f>
        <v>290.68044368537323</v>
      </c>
      <c r="E37" s="120">
        <f>-IS!E24/IS!E27</f>
        <v>827.45523085391471</v>
      </c>
      <c r="F37" s="120">
        <f>-IS!F24/IS!F27</f>
        <v>770.26382770589407</v>
      </c>
      <c r="G37" s="120">
        <f>-IS!G24/IS!G27</f>
        <v>697.3338537042448</v>
      </c>
      <c r="H37" s="121">
        <f>-IS!H24/IS!H27</f>
        <v>566.79077589455505</v>
      </c>
      <c r="I37" s="126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</row>
    <row r="38" spans="1:20" ht="12.75" customHeight="1" x14ac:dyDescent="0.2">
      <c r="A38" s="22" t="s">
        <v>377</v>
      </c>
      <c r="B38" s="85"/>
      <c r="C38" s="30"/>
      <c r="D38" s="30"/>
      <c r="E38" s="30"/>
      <c r="F38" s="30"/>
      <c r="G38" s="30"/>
      <c r="H38" s="19"/>
      <c r="I38" s="126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</row>
    <row r="39" spans="1:20" ht="12.75" customHeight="1" x14ac:dyDescent="0.2">
      <c r="A39" s="117" t="s">
        <v>378</v>
      </c>
      <c r="B39" s="118" t="s">
        <v>379</v>
      </c>
      <c r="C39" s="108">
        <f>-IS!C13/AVERAGE(BS!B16:C16)</f>
        <v>11.209314749304777</v>
      </c>
      <c r="D39" s="120">
        <f>-IS!D13/AVERAGE(BS!C16:D16)</f>
        <v>11.86221189853889</v>
      </c>
      <c r="E39" s="120">
        <f>-IS!E13/AVERAGE(BS!D16:E16)</f>
        <v>14.039125952822619</v>
      </c>
      <c r="F39" s="120">
        <f>-IS!F13/AVERAGE(BS!E16:F16)</f>
        <v>15.785628881880111</v>
      </c>
      <c r="G39" s="120">
        <f>-IS!G13/AVERAGE(BS!F16:G16)</f>
        <v>17.749632440764735</v>
      </c>
      <c r="H39" s="121">
        <f>-IS!H13/AVERAGE(BS!G16:H16)</f>
        <v>19.958250054652851</v>
      </c>
      <c r="I39" s="126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</row>
    <row r="40" spans="1:20" ht="12.75" customHeight="1" x14ac:dyDescent="0.2">
      <c r="A40" s="117" t="s">
        <v>380</v>
      </c>
      <c r="B40" s="118" t="s">
        <v>381</v>
      </c>
      <c r="C40" s="108">
        <f>IS!C7/AVERAGE(BS!B17:C17)</f>
        <v>15.038455255333748</v>
      </c>
      <c r="D40" s="120">
        <f>IS!D7/AVERAGE(BS!C17:D17)</f>
        <v>16.500055622023826</v>
      </c>
      <c r="E40" s="120">
        <f>IS!E7/AVERAGE(BS!D17:E17)</f>
        <v>16.641822249744436</v>
      </c>
      <c r="F40" s="120">
        <f>IS!F7/AVERAGE(BS!E17:F17)</f>
        <v>17.005368705190069</v>
      </c>
      <c r="G40" s="120">
        <f>IS!G7/AVERAGE(BS!F17:G17)</f>
        <v>17.266044385978986</v>
      </c>
      <c r="H40" s="121">
        <f>IS!H7/AVERAGE(BS!G17:H17)</f>
        <v>17.555891973734159</v>
      </c>
      <c r="I40" s="126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</row>
    <row r="41" spans="1:20" ht="12.75" customHeight="1" x14ac:dyDescent="0.2">
      <c r="A41" s="117" t="s">
        <v>382</v>
      </c>
      <c r="B41" s="118" t="s">
        <v>383</v>
      </c>
      <c r="C41" s="108">
        <f>((BS!C16-BS!B16)+(-IS!C13))/AVERAGE(BS!B37:C37)</f>
        <v>9.3998769582251107</v>
      </c>
      <c r="D41" s="120">
        <f>((BS!D16-BS!C16)+(-IS!D13))/AVERAGE(BS!C37:D37)</f>
        <v>10.412982599097496</v>
      </c>
      <c r="E41" s="120">
        <f>((BS!E16-BS!D16)+(-IS!E13))/AVERAGE(BS!D37:E37)</f>
        <v>10.435642307932945</v>
      </c>
      <c r="F41" s="120">
        <f>((BS!F16-BS!E16)+(-IS!F13))/AVERAGE(BS!E37:F37)</f>
        <v>11.113536061686911</v>
      </c>
      <c r="G41" s="120">
        <f>((BS!G16-BS!F16)+(-IS!G13))/AVERAGE(BS!F37:G37)</f>
        <v>11.443126227742709</v>
      </c>
      <c r="H41" s="121">
        <f>((BS!H16-BS!G16)+(-IS!H13))/AVERAGE(BS!G37:H37)</f>
        <v>11.946414367207744</v>
      </c>
      <c r="I41" s="126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</row>
    <row r="42" spans="1:20" ht="12.75" customHeight="1" x14ac:dyDescent="0.2">
      <c r="A42" s="119" t="s">
        <v>64</v>
      </c>
      <c r="B42" s="118" t="s">
        <v>384</v>
      </c>
      <c r="C42" s="116">
        <f t="shared" ref="C42:H42" si="3">365/C40</f>
        <v>24.271109884809746</v>
      </c>
      <c r="D42" s="120">
        <f t="shared" si="3"/>
        <v>22.121137550155158</v>
      </c>
      <c r="E42" s="120">
        <f t="shared" si="3"/>
        <v>21.932694300085149</v>
      </c>
      <c r="F42" s="120">
        <f t="shared" si="3"/>
        <v>21.463809831338814</v>
      </c>
      <c r="G42" s="120">
        <f t="shared" si="3"/>
        <v>21.139758003657214</v>
      </c>
      <c r="H42" s="122">
        <f t="shared" si="3"/>
        <v>20.790740826275663</v>
      </c>
      <c r="I42" s="125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</row>
    <row r="43" spans="1:20" ht="12.75" customHeight="1" x14ac:dyDescent="0.2">
      <c r="A43" s="17" t="s">
        <v>65</v>
      </c>
      <c r="B43" t="s">
        <v>385</v>
      </c>
      <c r="C43" s="108">
        <f t="shared" ref="C43:H43" si="4">365/C39</f>
        <v>32.562204573891371</v>
      </c>
      <c r="D43" s="73">
        <f t="shared" si="4"/>
        <v>30.76997807170839</v>
      </c>
      <c r="E43" s="73">
        <f t="shared" si="4"/>
        <v>25.998769526433044</v>
      </c>
      <c r="F43" s="73">
        <f t="shared" si="4"/>
        <v>23.122297041898246</v>
      </c>
      <c r="G43" s="73">
        <f t="shared" si="4"/>
        <v>20.56380610799139</v>
      </c>
      <c r="H43" s="62">
        <f t="shared" si="4"/>
        <v>18.288176518507335</v>
      </c>
      <c r="I43" s="92"/>
    </row>
    <row r="44" spans="1:20" ht="12.75" customHeight="1" x14ac:dyDescent="0.2">
      <c r="A44" s="17" t="s">
        <v>386</v>
      </c>
      <c r="B44" t="s">
        <v>387</v>
      </c>
      <c r="C44" s="108">
        <f t="shared" ref="C44:H44" si="5">365/C41</f>
        <v>38.830295505157281</v>
      </c>
      <c r="D44" s="73">
        <f t="shared" si="5"/>
        <v>35.052396998304303</v>
      </c>
      <c r="E44" s="73">
        <f t="shared" si="5"/>
        <v>34.976285045965504</v>
      </c>
      <c r="F44" s="73">
        <f t="shared" si="5"/>
        <v>32.84283219796356</v>
      </c>
      <c r="G44" s="73">
        <f t="shared" si="5"/>
        <v>31.896877892956748</v>
      </c>
      <c r="H44" s="62">
        <f t="shared" si="5"/>
        <v>30.553100602462365</v>
      </c>
      <c r="I44" s="92"/>
    </row>
    <row r="45" spans="1:20" ht="12.75" customHeight="1" x14ac:dyDescent="0.2">
      <c r="A45" s="37" t="s">
        <v>67</v>
      </c>
      <c r="B45" s="89" t="s">
        <v>388</v>
      </c>
      <c r="C45" s="67">
        <f t="shared" ref="C45:H45" si="6">(C43+C42)-C44</f>
        <v>18.003018953543837</v>
      </c>
      <c r="D45" s="57">
        <f t="shared" si="6"/>
        <v>17.838718623559245</v>
      </c>
      <c r="E45" s="57">
        <f t="shared" si="6"/>
        <v>12.955178780552693</v>
      </c>
      <c r="F45" s="57">
        <f t="shared" si="6"/>
        <v>11.743274675273497</v>
      </c>
      <c r="G45" s="57">
        <f t="shared" si="6"/>
        <v>9.8066862186918549</v>
      </c>
      <c r="H45" s="82">
        <f t="shared" si="6"/>
        <v>8.5258167423206288</v>
      </c>
      <c r="I45" s="92"/>
    </row>
    <row r="46" spans="1:20" ht="12.75" customHeight="1" x14ac:dyDescent="0.2">
      <c r="A46" s="79"/>
      <c r="B46" s="79"/>
      <c r="C46" s="79"/>
      <c r="D46" s="79"/>
      <c r="E46" s="79"/>
      <c r="F46" s="79"/>
      <c r="G46" s="79"/>
      <c r="H46" s="79"/>
    </row>
    <row r="51" spans="1:1" ht="12.75" customHeight="1" x14ac:dyDescent="0.2">
      <c r="A51" s="25"/>
    </row>
    <row r="55" spans="1:1" ht="12.75" customHeight="1" x14ac:dyDescent="0.2">
      <c r="A55" s="25"/>
    </row>
  </sheetData>
  <mergeCells count="1">
    <mergeCell ref="A1:H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7"/>
  <sheetViews>
    <sheetView zoomScale="85" zoomScaleNormal="85" workbookViewId="0">
      <selection sqref="A1:H15"/>
    </sheetView>
  </sheetViews>
  <sheetFormatPr defaultColWidth="17.140625" defaultRowHeight="12.75" customHeight="1" x14ac:dyDescent="0.2"/>
  <cols>
    <col min="1" max="1" width="48" customWidth="1"/>
  </cols>
  <sheetData>
    <row r="1" spans="1:9" ht="12.75" customHeight="1" x14ac:dyDescent="0.2">
      <c r="A1" s="250" t="s">
        <v>252</v>
      </c>
      <c r="B1" s="87"/>
      <c r="C1" s="92"/>
    </row>
    <row r="2" spans="1:9" ht="12.75" customHeight="1" x14ac:dyDescent="0.2">
      <c r="A2" s="182" t="s">
        <v>253</v>
      </c>
      <c r="B2" s="91"/>
      <c r="C2" s="92"/>
    </row>
    <row r="3" spans="1:9" ht="12.75" customHeight="1" x14ac:dyDescent="0.2">
      <c r="A3" s="92" t="s">
        <v>254</v>
      </c>
      <c r="B3" s="277">
        <v>1.2500000000000001E-2</v>
      </c>
      <c r="C3" s="276" t="s">
        <v>401</v>
      </c>
      <c r="E3" s="118"/>
    </row>
    <row r="4" spans="1:9" ht="12.75" customHeight="1" x14ac:dyDescent="0.2">
      <c r="A4" s="92" t="s">
        <v>255</v>
      </c>
      <c r="B4" s="277">
        <v>4.6820000000000001E-2</v>
      </c>
      <c r="C4" s="275" t="s">
        <v>403</v>
      </c>
      <c r="E4" s="118"/>
    </row>
    <row r="5" spans="1:9" ht="12.75" customHeight="1" x14ac:dyDescent="0.2">
      <c r="A5" s="92" t="s">
        <v>256</v>
      </c>
      <c r="B5" s="277">
        <v>2.2499999999999999E-2</v>
      </c>
      <c r="C5" s="414" t="s">
        <v>468</v>
      </c>
      <c r="E5" s="118"/>
    </row>
    <row r="6" spans="1:9" ht="12.75" customHeight="1" x14ac:dyDescent="0.2">
      <c r="A6" s="84" t="s">
        <v>257</v>
      </c>
      <c r="B6" s="278">
        <v>1.30080102</v>
      </c>
      <c r="C6" s="275" t="s">
        <v>402</v>
      </c>
      <c r="E6" s="118"/>
    </row>
    <row r="7" spans="1:9" ht="12.75" customHeight="1" x14ac:dyDescent="0.2">
      <c r="A7" s="112" t="s">
        <v>258</v>
      </c>
      <c r="B7" s="279">
        <f>(B3+(B4*B6))+B5</f>
        <v>9.5903503756399999E-2</v>
      </c>
      <c r="C7" s="92"/>
      <c r="E7" s="118"/>
    </row>
    <row r="8" spans="1:9" ht="12.75" customHeight="1" x14ac:dyDescent="0.2">
      <c r="A8" s="105"/>
      <c r="B8" s="105"/>
      <c r="C8" s="89"/>
      <c r="D8" s="89"/>
      <c r="E8" s="89"/>
      <c r="F8" s="89"/>
      <c r="G8" s="89"/>
      <c r="H8" s="89"/>
    </row>
    <row r="9" spans="1:9" ht="12.75" customHeight="1" x14ac:dyDescent="0.2">
      <c r="A9" s="250" t="s">
        <v>259</v>
      </c>
      <c r="B9" s="251">
        <v>2012</v>
      </c>
      <c r="C9" s="251" t="s">
        <v>127</v>
      </c>
      <c r="D9" s="251" t="s">
        <v>128</v>
      </c>
      <c r="E9" s="251" t="s">
        <v>129</v>
      </c>
      <c r="F9" s="251" t="s">
        <v>130</v>
      </c>
      <c r="G9" s="251" t="s">
        <v>131</v>
      </c>
      <c r="H9" s="252" t="s">
        <v>260</v>
      </c>
      <c r="I9" s="92"/>
    </row>
    <row r="10" spans="1:9" ht="12.75" customHeight="1" x14ac:dyDescent="0.2">
      <c r="A10" s="50" t="s">
        <v>261</v>
      </c>
      <c r="B10" s="115">
        <f>BS!C28</f>
        <v>72008</v>
      </c>
      <c r="C10" s="178">
        <f>BS!D28</f>
        <v>73223.321534809802</v>
      </c>
      <c r="D10" s="178">
        <f>BS!E28</f>
        <v>74881.142793129213</v>
      </c>
      <c r="E10" s="178">
        <f>BS!F28</f>
        <v>74881.142793129213</v>
      </c>
      <c r="F10" s="178">
        <f>BS!G28</f>
        <v>71367.447582524721</v>
      </c>
      <c r="G10" s="178">
        <f>BS!H28</f>
        <v>67337.919369573719</v>
      </c>
      <c r="H10" s="179">
        <f>AVERAGE(B10:G10)</f>
        <v>72283.162345527773</v>
      </c>
      <c r="I10" s="137"/>
    </row>
    <row r="11" spans="1:9" ht="12.75" customHeight="1" x14ac:dyDescent="0.2">
      <c r="A11" s="92" t="s">
        <v>262</v>
      </c>
      <c r="B11" s="183">
        <f>BS!C32+BS!C36</f>
        <v>333</v>
      </c>
      <c r="C11" s="176">
        <f>BS!D32+BS!D36</f>
        <v>333</v>
      </c>
      <c r="D11" s="176">
        <f>BS!E32+BS!E36</f>
        <v>333</v>
      </c>
      <c r="E11" s="176">
        <f>BS!F32+BS!F36</f>
        <v>333</v>
      </c>
      <c r="F11" s="176">
        <f>BS!G32+BS!G36</f>
        <v>333</v>
      </c>
      <c r="G11" s="176">
        <f>BS!H32+BS!H36</f>
        <v>333</v>
      </c>
      <c r="H11" s="121">
        <f>AVERAGE(B11:G11)</f>
        <v>333</v>
      </c>
      <c r="I11" s="137"/>
    </row>
    <row r="12" spans="1:9" ht="12.75" customHeight="1" x14ac:dyDescent="0.2">
      <c r="A12" s="92" t="s">
        <v>263</v>
      </c>
      <c r="B12" s="184">
        <f>-IS!C27/B11</f>
        <v>6.9069069069069067E-2</v>
      </c>
      <c r="C12" s="177">
        <f>-IS!D27/C11</f>
        <v>6.9069069069069067E-2</v>
      </c>
      <c r="D12" s="177">
        <f>-IS!E27/D11</f>
        <v>6.9069069069069067E-2</v>
      </c>
      <c r="E12" s="177">
        <f>-IS!F27/E11</f>
        <v>6.9069069069069067E-2</v>
      </c>
      <c r="F12" s="177">
        <f>-IS!G27/F11</f>
        <v>6.9069069069069067E-2</v>
      </c>
      <c r="G12" s="177">
        <f>-IS!H27/G11</f>
        <v>6.9069069069069067E-2</v>
      </c>
      <c r="H12" s="180">
        <f>AVERAGE(B12:G12)</f>
        <v>6.9069069069069067E-2</v>
      </c>
      <c r="I12" s="137"/>
    </row>
    <row r="13" spans="1:9" ht="12.75" customHeight="1" x14ac:dyDescent="0.2">
      <c r="A13" s="92" t="s">
        <v>264</v>
      </c>
      <c r="B13" s="184">
        <f>-IS!C30/IS!C29</f>
        <v>9.478932470654404E-2</v>
      </c>
      <c r="C13" s="177">
        <f>-IS!D30/IS!D29</f>
        <v>0.15</v>
      </c>
      <c r="D13" s="177">
        <f>-IS!E30/IS!E29</f>
        <v>0.15</v>
      </c>
      <c r="E13" s="177">
        <f>-IS!F30/IS!F29</f>
        <v>0.15</v>
      </c>
      <c r="F13" s="177">
        <f>-IS!G30/IS!G29</f>
        <v>0.15</v>
      </c>
      <c r="G13" s="177">
        <f>-IS!H30/IS!H29</f>
        <v>0.15</v>
      </c>
      <c r="H13" s="180">
        <f>AVERAGE(B13:G13)</f>
        <v>0.14079822078442403</v>
      </c>
      <c r="I13" s="137"/>
    </row>
    <row r="14" spans="1:9" ht="12.75" customHeight="1" x14ac:dyDescent="0.2">
      <c r="A14" s="92" t="s">
        <v>265</v>
      </c>
      <c r="B14" s="185"/>
      <c r="C14" s="136"/>
      <c r="D14" s="136"/>
      <c r="E14" s="136"/>
      <c r="F14" s="136"/>
      <c r="G14" s="136"/>
      <c r="H14" s="180">
        <f>B7</f>
        <v>9.5903503756399999E-2</v>
      </c>
      <c r="I14" s="137"/>
    </row>
    <row r="15" spans="1:9" ht="12.75" customHeight="1" x14ac:dyDescent="0.2">
      <c r="A15" s="84" t="s">
        <v>266</v>
      </c>
      <c r="B15" s="186"/>
      <c r="C15" s="181"/>
      <c r="D15" s="181"/>
      <c r="E15" s="181"/>
      <c r="F15" s="181"/>
      <c r="G15" s="181"/>
      <c r="H15" s="175">
        <f>(((H11*H12)/(H10+H11))*(1-H13))+((H14*H10)/(H11+H10))</f>
        <v>9.5735852018333831E-2</v>
      </c>
      <c r="I15" s="137"/>
    </row>
    <row r="16" spans="1:9" ht="12.75" customHeight="1" x14ac:dyDescent="0.2">
      <c r="A16" s="79"/>
      <c r="B16" s="137"/>
      <c r="C16" s="137"/>
      <c r="D16" s="137"/>
      <c r="E16" s="137"/>
      <c r="F16" s="137"/>
      <c r="G16" s="137"/>
      <c r="H16" s="137"/>
    </row>
    <row r="17" spans="8:8" ht="12.75" customHeight="1" x14ac:dyDescent="0.2">
      <c r="H17" s="33"/>
    </row>
  </sheetData>
  <hyperlinks>
    <hyperlink ref="C3" r:id="rId1"/>
    <hyperlink ref="C4" r:id="rId2"/>
    <hyperlink ref="C6" r:id="rId3"/>
    <hyperlink ref="C5" r:id="rId4"/>
  </hyperlinks>
  <pageMargins left="0.7" right="0.7" top="0.75" bottom="0.75" header="0.3" footer="0.3"/>
  <drawing r:id="rId5"/>
  <legacy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Source Data</vt:lpstr>
      <vt:lpstr>Inputs</vt:lpstr>
      <vt:lpstr>Investment</vt:lpstr>
      <vt:lpstr>IS</vt:lpstr>
      <vt:lpstr>BS</vt:lpstr>
      <vt:lpstr>CF</vt:lpstr>
      <vt:lpstr>FCF</vt:lpstr>
      <vt:lpstr>Key ratios</vt:lpstr>
      <vt:lpstr>Discount Factor</vt:lpstr>
      <vt:lpstr>Equity Valuation</vt:lpstr>
      <vt:lpstr>Competitors' analysis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Vadim</dc:creator>
  <cp:lastModifiedBy>Anete Pajuste</cp:lastModifiedBy>
  <cp:lastPrinted>2013-05-04T19:17:54Z</cp:lastPrinted>
  <dcterms:created xsi:type="dcterms:W3CDTF">2013-04-28T19:24:14Z</dcterms:created>
  <dcterms:modified xsi:type="dcterms:W3CDTF">2014-04-08T14:59:23Z</dcterms:modified>
</cp:coreProperties>
</file>